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GOC MAI\Ngan sach\Nam 2023\DU TOAN 2024\Du toan Huyen 2024\Trinh HDND 07.12.2023\c Ha sua\"/>
    </mc:Choice>
  </mc:AlternateContent>
  <bookViews>
    <workbookView xWindow="-120" yWindow="-120" windowWidth="20736" windowHeight="11040" tabRatio="635" activeTab="6"/>
  </bookViews>
  <sheets>
    <sheet name="CD ĐP" sheetId="21" r:id="rId1"/>
    <sheet name="CD" sheetId="19" r:id="rId2"/>
    <sheet name="Tổng thu (2)" sheetId="10" r:id="rId3"/>
    <sheet name="TH" sheetId="8" state="hidden" r:id="rId4"/>
    <sheet name="TỔNG HỢP DT 2024- GUI TC" sheetId="25" state="hidden" r:id="rId5"/>
    <sheet name="Sheet5" sheetId="24" state="hidden" r:id="rId6"/>
    <sheet name="Tổng chi (M)" sheetId="22" r:id="rId7"/>
    <sheet name="Tổng chi" sheetId="2" state="hidden" r:id="rId8"/>
    <sheet name="Thu xa" sheetId="16" state="hidden" r:id="rId9"/>
    <sheet name="Thu" sheetId="18" state="hidden" r:id="rId10"/>
    <sheet name="Chi xa" sheetId="17" state="hidden" r:id="rId11"/>
    <sheet name="Sheet2" sheetId="20" state="hidden" r:id="rId12"/>
    <sheet name="BSCĐ xa" sheetId="14" state="hidden" r:id="rId13"/>
    <sheet name="Chi các đv" sheetId="26" r:id="rId14"/>
    <sheet name="Chi" sheetId="23" state="hidden" r:id="rId15"/>
    <sheet name="BSMT" sheetId="15" state="hidden" r:id="rId16"/>
    <sheet name="Sheet3" sheetId="5" state="hidden" r:id="rId17"/>
    <sheet name="Tổng thu" sheetId="1" state="hidden" r:id="rId18"/>
    <sheet name="Sheet1" sheetId="9" state="hidden" r:id="rId19"/>
    <sheet name="Du phong" sheetId="3" state="hidden" r:id="rId20"/>
    <sheet name="Chi khac" sheetId="4" state="hidden" r:id="rId21"/>
    <sheet name="NV MOI" sheetId="7" state="hidden" r:id="rId22"/>
    <sheet name="KP PC dich" sheetId="6"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Print_Area" localSheetId="12">'BSCĐ xa'!$A$1:$F$55</definedName>
    <definedName name="_xlnm.Print_Area" localSheetId="15">BSMT!$A$1:$F$22</definedName>
    <definedName name="_xlnm.Print_Area" localSheetId="1">CD!$A$1:$C$32</definedName>
    <definedName name="_xlnm.Print_Area" localSheetId="0">'CD ĐP'!$A$1:$C$40</definedName>
    <definedName name="_xlnm.Print_Area" localSheetId="14">Chi!$A$1:$AO$54</definedName>
    <definedName name="_xlnm.Print_Area" localSheetId="13">'Chi các đv'!$A$1:$AK$225</definedName>
    <definedName name="_xlnm.Print_Area" localSheetId="10">'Chi xa'!$A$1:$O$38</definedName>
    <definedName name="_xlnm.Print_Area" localSheetId="8">'Thu xa'!$A$1:$AG$32</definedName>
    <definedName name="_xlnm.Print_Area" localSheetId="7">'Tổng chi'!$A$1:$AE$54</definedName>
    <definedName name="_xlnm.Print_Area" localSheetId="6">'Tổng chi (M)'!$A$1:$AC$35</definedName>
    <definedName name="_xlnm.Print_Area" localSheetId="4">'TỔNG HỢP DT 2024- GUI TC'!$A$1:$AG$43</definedName>
    <definedName name="_xlnm.Print_Area" localSheetId="17">'Tổng thu'!$A$1:$AI$39</definedName>
    <definedName name="_xlnm.Print_Area" localSheetId="2">'Tổng thu (2)'!$A$1:$BK$47</definedName>
    <definedName name="_xlnm.Print_Titles" localSheetId="13">'Chi các đv'!$5:$6</definedName>
    <definedName name="_xlnm.Print_Titles" localSheetId="7">'Tổng chi'!$5:$6</definedName>
    <definedName name="_xlnm.Print_Titles" localSheetId="6">'Tổng chi (M)'!$5:$6</definedName>
    <definedName name="_xlnm.Print_Titles" localSheetId="4">'TỔNG HỢP DT 2024- GUI TC'!$4:$8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6" i="22" l="1"/>
  <c r="AS17" i="22" l="1"/>
  <c r="AS16" i="22"/>
  <c r="BW60" i="10"/>
  <c r="BM13" i="10"/>
  <c r="AK15" i="22"/>
  <c r="BW50" i="10"/>
  <c r="BV54" i="10"/>
  <c r="AL15" i="22" l="1"/>
  <c r="AK22" i="22"/>
  <c r="AK18" i="22"/>
  <c r="AK20" i="22" s="1"/>
  <c r="AK26" i="22"/>
  <c r="BV34" i="10" l="1"/>
  <c r="BU34" i="10" s="1"/>
  <c r="BU35" i="10" s="1"/>
  <c r="BV33" i="10"/>
  <c r="BU46" i="10"/>
  <c r="BU47" i="10"/>
  <c r="BU45" i="10"/>
  <c r="BW45" i="10" s="1"/>
  <c r="BU44" i="10"/>
  <c r="BU43" i="10"/>
  <c r="AJ14" i="22"/>
  <c r="AJ18" i="22" s="1"/>
  <c r="BU48" i="10" l="1"/>
  <c r="BW48" i="10"/>
  <c r="BW61" i="10"/>
  <c r="BV37" i="10"/>
  <c r="BV53" i="10"/>
  <c r="BV57" i="10" s="1"/>
  <c r="BV44" i="10"/>
  <c r="BV48" i="10" s="1"/>
  <c r="AJ5" i="22"/>
  <c r="AK4" i="22"/>
  <c r="AK1" i="22"/>
  <c r="AK2" i="22" s="1"/>
  <c r="AP22" i="22"/>
  <c r="AI14" i="22"/>
  <c r="AI18" i="22" s="1"/>
  <c r="BW55" i="10" l="1"/>
  <c r="BW52" i="10"/>
  <c r="AO8" i="22" l="1"/>
  <c r="AN8" i="22"/>
  <c r="AM8" i="22"/>
  <c r="AP8" i="22" l="1"/>
  <c r="C10" i="25"/>
  <c r="D10" i="25"/>
  <c r="E10" i="25"/>
  <c r="H10" i="25"/>
  <c r="I10" i="25"/>
  <c r="J10" i="25"/>
  <c r="N10" i="25"/>
  <c r="M10" i="25" s="1"/>
  <c r="P10" i="25"/>
  <c r="Q10" i="25"/>
  <c r="S10" i="25"/>
  <c r="R10" i="25" s="1"/>
  <c r="V10" i="25"/>
  <c r="X10" i="25"/>
  <c r="Z10" i="25"/>
  <c r="AA10" i="25"/>
  <c r="AB10" i="25"/>
  <c r="AC10" i="25"/>
  <c r="AE10" i="25"/>
  <c r="AG10" i="25"/>
  <c r="C11" i="25"/>
  <c r="D11" i="25"/>
  <c r="G11" i="25" s="1"/>
  <c r="E11" i="25"/>
  <c r="H11" i="25"/>
  <c r="I11" i="25"/>
  <c r="L11" i="25" s="1"/>
  <c r="J11" i="25"/>
  <c r="N11" i="25"/>
  <c r="P11" i="25"/>
  <c r="Q11" i="25"/>
  <c r="S11" i="25"/>
  <c r="R11" i="25" s="1"/>
  <c r="V11" i="25"/>
  <c r="X11" i="25"/>
  <c r="X13" i="25" s="1"/>
  <c r="Z11" i="25"/>
  <c r="AA11" i="25"/>
  <c r="AB11" i="25"/>
  <c r="AC11" i="25"/>
  <c r="AE11" i="25"/>
  <c r="AG11" i="25"/>
  <c r="C12" i="25"/>
  <c r="F12" i="25" s="1"/>
  <c r="D12" i="25"/>
  <c r="E12" i="25"/>
  <c r="H12" i="25"/>
  <c r="I12" i="25"/>
  <c r="J12" i="25"/>
  <c r="N12" i="25"/>
  <c r="P12" i="25"/>
  <c r="P13" i="25" s="1"/>
  <c r="Q12" i="25"/>
  <c r="S12" i="25"/>
  <c r="R12" i="25" s="1"/>
  <c r="V12" i="25"/>
  <c r="U12" i="25" s="1"/>
  <c r="X12" i="25"/>
  <c r="Z12" i="25"/>
  <c r="AA12" i="25"/>
  <c r="AB12" i="25"/>
  <c r="AC12" i="25"/>
  <c r="AE12" i="25"/>
  <c r="AE13" i="25" s="1"/>
  <c r="AG12" i="25"/>
  <c r="H13" i="25"/>
  <c r="O13" i="25"/>
  <c r="T13" i="25"/>
  <c r="W13" i="25"/>
  <c r="W30" i="25" s="1"/>
  <c r="W42" i="25" s="1"/>
  <c r="AD13" i="25"/>
  <c r="AF13" i="25"/>
  <c r="AF30" i="25" s="1"/>
  <c r="C14" i="25"/>
  <c r="D14" i="25"/>
  <c r="H14" i="25"/>
  <c r="I14" i="25"/>
  <c r="J14" i="25"/>
  <c r="N14" i="25"/>
  <c r="P14" i="25"/>
  <c r="Q14" i="25"/>
  <c r="S14" i="25"/>
  <c r="R14" i="25" s="1"/>
  <c r="V14" i="25"/>
  <c r="X14" i="25"/>
  <c r="Z14" i="25"/>
  <c r="AA14" i="25"/>
  <c r="AB14" i="25"/>
  <c r="AC14" i="25"/>
  <c r="AE14" i="25"/>
  <c r="AG14" i="25"/>
  <c r="C15" i="25"/>
  <c r="D15" i="25"/>
  <c r="E15" i="25"/>
  <c r="F15" i="25"/>
  <c r="H15" i="25"/>
  <c r="I15" i="25"/>
  <c r="J15" i="25"/>
  <c r="L15" i="25" s="1"/>
  <c r="N15" i="25"/>
  <c r="P15" i="25"/>
  <c r="Q15" i="25"/>
  <c r="S15" i="25"/>
  <c r="R15" i="25" s="1"/>
  <c r="V15" i="25"/>
  <c r="X15" i="25"/>
  <c r="Z15" i="25"/>
  <c r="AA15" i="25"/>
  <c r="AB15" i="25"/>
  <c r="AC15" i="25"/>
  <c r="AE15" i="25"/>
  <c r="AG15" i="25"/>
  <c r="C16" i="25"/>
  <c r="D16" i="25"/>
  <c r="E16" i="25"/>
  <c r="H16" i="25"/>
  <c r="I16" i="25"/>
  <c r="J16" i="25"/>
  <c r="L16" i="25" s="1"/>
  <c r="N16" i="25"/>
  <c r="M16" i="25" s="1"/>
  <c r="P16" i="25"/>
  <c r="Q16" i="25"/>
  <c r="R16" i="25"/>
  <c r="S16" i="25"/>
  <c r="V16" i="25"/>
  <c r="X16" i="25"/>
  <c r="Z16" i="25"/>
  <c r="AA16" i="25"/>
  <c r="AB16" i="25"/>
  <c r="AC16" i="25"/>
  <c r="AE16" i="25"/>
  <c r="AG16" i="25"/>
  <c r="C17" i="25"/>
  <c r="D17" i="25"/>
  <c r="E17" i="25"/>
  <c r="G17" i="25" s="1"/>
  <c r="H17" i="25"/>
  <c r="I17" i="25"/>
  <c r="J17" i="25"/>
  <c r="N17" i="25"/>
  <c r="P17" i="25"/>
  <c r="Q17" i="25"/>
  <c r="S17" i="25"/>
  <c r="R17" i="25" s="1"/>
  <c r="V17" i="25"/>
  <c r="X17" i="25"/>
  <c r="U17" i="25" s="1"/>
  <c r="Z17" i="25"/>
  <c r="AA17" i="25"/>
  <c r="AB17" i="25"/>
  <c r="AC17" i="25"/>
  <c r="AE17" i="25"/>
  <c r="AG17" i="25"/>
  <c r="C18" i="25"/>
  <c r="D18" i="25"/>
  <c r="G18" i="25" s="1"/>
  <c r="E18" i="25"/>
  <c r="H18" i="25"/>
  <c r="I18" i="25"/>
  <c r="L18" i="25" s="1"/>
  <c r="J18" i="25"/>
  <c r="N18" i="25"/>
  <c r="P18" i="25"/>
  <c r="Q18" i="25"/>
  <c r="S18" i="25"/>
  <c r="R18" i="25" s="1"/>
  <c r="V18" i="25"/>
  <c r="X18" i="25"/>
  <c r="Z18" i="25"/>
  <c r="AA18" i="25"/>
  <c r="AB18" i="25"/>
  <c r="AC18" i="25"/>
  <c r="AE18" i="25"/>
  <c r="AG18" i="25"/>
  <c r="C19" i="25"/>
  <c r="D19" i="25"/>
  <c r="E19" i="25"/>
  <c r="F19" i="25" s="1"/>
  <c r="H19" i="25"/>
  <c r="I19" i="25"/>
  <c r="J19" i="25"/>
  <c r="L19" i="25" s="1"/>
  <c r="N19" i="25"/>
  <c r="P19" i="25"/>
  <c r="Q19" i="25"/>
  <c r="S19" i="25"/>
  <c r="R19" i="25" s="1"/>
  <c r="V19" i="25"/>
  <c r="X19" i="25"/>
  <c r="Z19" i="25"/>
  <c r="AA19" i="25"/>
  <c r="AB19" i="25"/>
  <c r="AC19" i="25"/>
  <c r="AE19" i="25"/>
  <c r="AG19" i="25"/>
  <c r="C20" i="25"/>
  <c r="C21" i="25" s="1"/>
  <c r="D20" i="25"/>
  <c r="E20" i="25"/>
  <c r="H20" i="25"/>
  <c r="I20" i="25"/>
  <c r="L20" i="25" s="1"/>
  <c r="J20" i="25"/>
  <c r="K20" i="25" s="1"/>
  <c r="M20" i="25"/>
  <c r="N20" i="25"/>
  <c r="P20" i="25"/>
  <c r="Q20" i="25"/>
  <c r="S20" i="25"/>
  <c r="R20" i="25" s="1"/>
  <c r="V20" i="25"/>
  <c r="X20" i="25"/>
  <c r="Z20" i="25"/>
  <c r="Y20" i="25" s="1"/>
  <c r="AA20" i="25"/>
  <c r="AB20" i="25"/>
  <c r="AC20" i="25"/>
  <c r="AE20" i="25"/>
  <c r="AG20" i="25"/>
  <c r="O21" i="25"/>
  <c r="T21" i="25"/>
  <c r="W21" i="25"/>
  <c r="AD21" i="25"/>
  <c r="AF21" i="25"/>
  <c r="C22" i="25"/>
  <c r="D22" i="25"/>
  <c r="E22" i="25"/>
  <c r="H22" i="25"/>
  <c r="I22" i="25"/>
  <c r="J22" i="25"/>
  <c r="K22" i="25" s="1"/>
  <c r="N22" i="25"/>
  <c r="P22" i="25"/>
  <c r="Q22" i="25"/>
  <c r="S22" i="25"/>
  <c r="R22" i="25" s="1"/>
  <c r="V22" i="25"/>
  <c r="X22" i="25"/>
  <c r="Z22" i="25"/>
  <c r="AA22" i="25"/>
  <c r="AB22" i="25"/>
  <c r="AC22" i="25"/>
  <c r="AE22" i="25"/>
  <c r="AG22" i="25"/>
  <c r="C23" i="25"/>
  <c r="D23" i="25"/>
  <c r="E23" i="25"/>
  <c r="H23" i="25"/>
  <c r="I23" i="25"/>
  <c r="J23" i="25"/>
  <c r="N23" i="25"/>
  <c r="P23" i="25"/>
  <c r="Q23" i="25"/>
  <c r="S23" i="25"/>
  <c r="R23" i="25" s="1"/>
  <c r="V23" i="25"/>
  <c r="X23" i="25"/>
  <c r="Z23" i="25"/>
  <c r="AA23" i="25"/>
  <c r="AB23" i="25"/>
  <c r="AC23" i="25"/>
  <c r="AE23" i="25"/>
  <c r="AG23" i="25"/>
  <c r="C24" i="25"/>
  <c r="D24" i="25"/>
  <c r="E24" i="25"/>
  <c r="G24" i="25" s="1"/>
  <c r="H24" i="25"/>
  <c r="K24" i="25" s="1"/>
  <c r="I24" i="25"/>
  <c r="J24" i="25"/>
  <c r="N24" i="25"/>
  <c r="M24" i="25" s="1"/>
  <c r="P24" i="25"/>
  <c r="Q24" i="25"/>
  <c r="S24" i="25"/>
  <c r="R24" i="25" s="1"/>
  <c r="V24" i="25"/>
  <c r="X24" i="25"/>
  <c r="Z24" i="25"/>
  <c r="AA24" i="25"/>
  <c r="AB24" i="25"/>
  <c r="AC24" i="25"/>
  <c r="AE24" i="25"/>
  <c r="AG24" i="25"/>
  <c r="C25" i="25"/>
  <c r="D25" i="25"/>
  <c r="E25" i="25"/>
  <c r="H25" i="25"/>
  <c r="I25" i="25"/>
  <c r="J25" i="25"/>
  <c r="N25" i="25"/>
  <c r="P25" i="25"/>
  <c r="Q25" i="25"/>
  <c r="S25" i="25"/>
  <c r="R25" i="25" s="1"/>
  <c r="V25" i="25"/>
  <c r="U25" i="25" s="1"/>
  <c r="X25" i="25"/>
  <c r="Z25" i="25"/>
  <c r="AA25" i="25"/>
  <c r="AB25" i="25"/>
  <c r="AC25" i="25"/>
  <c r="AE25" i="25"/>
  <c r="AG25" i="25"/>
  <c r="C26" i="25"/>
  <c r="D26" i="25"/>
  <c r="E26" i="25"/>
  <c r="H26" i="25"/>
  <c r="I26" i="25"/>
  <c r="J26" i="25"/>
  <c r="L26" i="25" s="1"/>
  <c r="N26" i="25"/>
  <c r="P26" i="25"/>
  <c r="Q26" i="25"/>
  <c r="S26" i="25"/>
  <c r="R26" i="25" s="1"/>
  <c r="V26" i="25"/>
  <c r="X26" i="25"/>
  <c r="Z26" i="25"/>
  <c r="AA26" i="25"/>
  <c r="AB26" i="25"/>
  <c r="AC26" i="25"/>
  <c r="AE26" i="25"/>
  <c r="AG26" i="25"/>
  <c r="C27" i="25"/>
  <c r="D27" i="25"/>
  <c r="E27" i="25"/>
  <c r="F27" i="25" s="1"/>
  <c r="H27" i="25"/>
  <c r="I27" i="25"/>
  <c r="J27" i="25"/>
  <c r="N27" i="25"/>
  <c r="P27" i="25"/>
  <c r="Q27" i="25"/>
  <c r="S27" i="25"/>
  <c r="R27" i="25" s="1"/>
  <c r="V27" i="25"/>
  <c r="X27" i="25"/>
  <c r="Z27" i="25"/>
  <c r="AA27" i="25"/>
  <c r="AB27" i="25"/>
  <c r="AC27" i="25"/>
  <c r="AE27" i="25"/>
  <c r="AG27" i="25"/>
  <c r="C28" i="25"/>
  <c r="D28" i="25"/>
  <c r="E28" i="25"/>
  <c r="G28" i="25" s="1"/>
  <c r="H28" i="25"/>
  <c r="I28" i="25"/>
  <c r="J28" i="25"/>
  <c r="N28" i="25"/>
  <c r="P28" i="25"/>
  <c r="Q28" i="25"/>
  <c r="S28" i="25"/>
  <c r="R28" i="25" s="1"/>
  <c r="V28" i="25"/>
  <c r="X28" i="25"/>
  <c r="Z28" i="25"/>
  <c r="AA28" i="25"/>
  <c r="AB28" i="25"/>
  <c r="AC28" i="25"/>
  <c r="AE28" i="25"/>
  <c r="AG28" i="25"/>
  <c r="O29" i="25"/>
  <c r="T29" i="25"/>
  <c r="W29" i="25"/>
  <c r="AD29" i="25"/>
  <c r="AD30" i="25" s="1"/>
  <c r="AF29" i="25"/>
  <c r="O30" i="25"/>
  <c r="O31" i="25"/>
  <c r="W31" i="25"/>
  <c r="AA31" i="25"/>
  <c r="C32" i="25"/>
  <c r="D32" i="25"/>
  <c r="E32" i="25"/>
  <c r="H32" i="25"/>
  <c r="K32" i="25" s="1"/>
  <c r="I32" i="25"/>
  <c r="J32" i="25"/>
  <c r="N32" i="25"/>
  <c r="P32" i="25"/>
  <c r="Q32" i="25"/>
  <c r="R32" i="25"/>
  <c r="S32" i="25"/>
  <c r="V32" i="25"/>
  <c r="U32" i="25" s="1"/>
  <c r="X32" i="25"/>
  <c r="AB32" i="25"/>
  <c r="C33" i="25"/>
  <c r="D33" i="25"/>
  <c r="E33" i="25"/>
  <c r="H33" i="25"/>
  <c r="I33" i="25"/>
  <c r="J33" i="25"/>
  <c r="N33" i="25"/>
  <c r="P33" i="25"/>
  <c r="Q33" i="25"/>
  <c r="S33" i="25"/>
  <c r="R33" i="25" s="1"/>
  <c r="V33" i="25"/>
  <c r="X33" i="25"/>
  <c r="X31" i="25" s="1"/>
  <c r="AB33" i="25"/>
  <c r="Y33" i="25" s="1"/>
  <c r="C34" i="25"/>
  <c r="D34" i="25"/>
  <c r="E34" i="25"/>
  <c r="H34" i="25"/>
  <c r="I34" i="25"/>
  <c r="J34" i="25"/>
  <c r="L34" i="25" s="1"/>
  <c r="N34" i="25"/>
  <c r="P34" i="25"/>
  <c r="Q34" i="25"/>
  <c r="S34" i="25"/>
  <c r="R34" i="25" s="1"/>
  <c r="V34" i="25"/>
  <c r="X34" i="25"/>
  <c r="AB34" i="25"/>
  <c r="Y34" i="25" s="1"/>
  <c r="C35" i="25"/>
  <c r="D35" i="25"/>
  <c r="E35" i="25"/>
  <c r="H35" i="25"/>
  <c r="I35" i="25"/>
  <c r="J35" i="25"/>
  <c r="K35" i="25" s="1"/>
  <c r="N35" i="25"/>
  <c r="P35" i="25"/>
  <c r="Q35" i="25"/>
  <c r="S35" i="25"/>
  <c r="R35" i="25" s="1"/>
  <c r="V35" i="25"/>
  <c r="X35" i="25"/>
  <c r="AB35" i="25"/>
  <c r="Y35" i="25" s="1"/>
  <c r="C36" i="25"/>
  <c r="D36" i="25"/>
  <c r="E36" i="25"/>
  <c r="G36" i="25" s="1"/>
  <c r="F36" i="25"/>
  <c r="H36" i="25"/>
  <c r="I36" i="25"/>
  <c r="J36" i="25"/>
  <c r="L36" i="25" s="1"/>
  <c r="N36" i="25"/>
  <c r="P36" i="25"/>
  <c r="Q36" i="25"/>
  <c r="T36" i="25"/>
  <c r="R36" i="25" s="1"/>
  <c r="V36" i="25"/>
  <c r="X36" i="25"/>
  <c r="Z36" i="25"/>
  <c r="AA36" i="25"/>
  <c r="AB36" i="25"/>
  <c r="AC36" i="25"/>
  <c r="AC31" i="25" s="1"/>
  <c r="AD36" i="25"/>
  <c r="AD31" i="25" s="1"/>
  <c r="AE36" i="25"/>
  <c r="AE31" i="25" s="1"/>
  <c r="AF36" i="25"/>
  <c r="AF31" i="25" s="1"/>
  <c r="AG36" i="25"/>
  <c r="AG31" i="25" s="1"/>
  <c r="C37" i="25"/>
  <c r="D37" i="25"/>
  <c r="E37" i="25"/>
  <c r="G37" i="25" s="1"/>
  <c r="H37" i="25"/>
  <c r="I37" i="25"/>
  <c r="J37" i="25"/>
  <c r="K37" i="25" s="1"/>
  <c r="N37" i="25"/>
  <c r="P37" i="25"/>
  <c r="Q37" i="25"/>
  <c r="S37" i="25"/>
  <c r="R37" i="25" s="1"/>
  <c r="V37" i="25"/>
  <c r="U37" i="25" s="1"/>
  <c r="X37" i="25"/>
  <c r="AB37" i="25"/>
  <c r="Y37" i="25" s="1"/>
  <c r="C38" i="25"/>
  <c r="F38" i="25" s="1"/>
  <c r="D38" i="25"/>
  <c r="E38" i="25"/>
  <c r="H38" i="25"/>
  <c r="I38" i="25"/>
  <c r="J38" i="25"/>
  <c r="N38" i="25"/>
  <c r="P38" i="25"/>
  <c r="Q38" i="25"/>
  <c r="T38" i="25"/>
  <c r="R38" i="25" s="1"/>
  <c r="V38" i="25"/>
  <c r="X38" i="25"/>
  <c r="AB38" i="25"/>
  <c r="Y38" i="25" s="1"/>
  <c r="C39" i="25"/>
  <c r="F39" i="25" s="1"/>
  <c r="D39" i="25"/>
  <c r="E39" i="25"/>
  <c r="E43" i="25" s="1"/>
  <c r="H43" i="25" s="1"/>
  <c r="H39" i="25"/>
  <c r="I39" i="25"/>
  <c r="J39" i="25"/>
  <c r="N39" i="25"/>
  <c r="P39" i="25"/>
  <c r="Q39" i="25"/>
  <c r="S39" i="25"/>
  <c r="R39" i="25" s="1"/>
  <c r="V39" i="25"/>
  <c r="X39" i="25"/>
  <c r="U39" i="25" s="1"/>
  <c r="AB39" i="25"/>
  <c r="Y39" i="25" s="1"/>
  <c r="G39" i="25" l="1"/>
  <c r="C31" i="25"/>
  <c r="L28" i="25"/>
  <c r="G26" i="25"/>
  <c r="L24" i="25"/>
  <c r="U22" i="25"/>
  <c r="U29" i="25" s="1"/>
  <c r="S21" i="25"/>
  <c r="G19" i="25"/>
  <c r="K18" i="25"/>
  <c r="L17" i="25"/>
  <c r="Y10" i="25"/>
  <c r="L10" i="25"/>
  <c r="K28" i="25"/>
  <c r="F26" i="25"/>
  <c r="G25" i="25"/>
  <c r="E29" i="25"/>
  <c r="Y12" i="25"/>
  <c r="M12" i="25"/>
  <c r="M38" i="25"/>
  <c r="P31" i="25"/>
  <c r="F33" i="25"/>
  <c r="N29" i="25"/>
  <c r="AA21" i="25"/>
  <c r="L35" i="25"/>
  <c r="G34" i="25"/>
  <c r="U24" i="25"/>
  <c r="F24" i="25"/>
  <c r="Y16" i="25"/>
  <c r="F11" i="25"/>
  <c r="U10" i="25"/>
  <c r="L38" i="25"/>
  <c r="U27" i="25"/>
  <c r="M22" i="25"/>
  <c r="K16" i="25"/>
  <c r="G15" i="25"/>
  <c r="K38" i="25"/>
  <c r="U35" i="25"/>
  <c r="K33" i="25"/>
  <c r="K31" i="25" s="1"/>
  <c r="M25" i="25"/>
  <c r="AA13" i="25"/>
  <c r="G32" i="25"/>
  <c r="Y25" i="25"/>
  <c r="L25" i="25"/>
  <c r="G23" i="25"/>
  <c r="L22" i="25"/>
  <c r="K11" i="25"/>
  <c r="K36" i="25"/>
  <c r="Q31" i="25"/>
  <c r="T31" i="25"/>
  <c r="F28" i="25"/>
  <c r="G27" i="25"/>
  <c r="Y26" i="25"/>
  <c r="K26" i="25"/>
  <c r="F25" i="25"/>
  <c r="Y23" i="25"/>
  <c r="U23" i="25"/>
  <c r="M23" i="25"/>
  <c r="F23" i="25"/>
  <c r="J21" i="25"/>
  <c r="K19" i="25"/>
  <c r="U18" i="25"/>
  <c r="M18" i="25"/>
  <c r="K15" i="25"/>
  <c r="U14" i="25"/>
  <c r="H21" i="25"/>
  <c r="T30" i="25"/>
  <c r="T42" i="25" s="1"/>
  <c r="G12" i="25"/>
  <c r="Y11" i="25"/>
  <c r="E13" i="25"/>
  <c r="J31" i="25"/>
  <c r="AD42" i="25"/>
  <c r="K25" i="25"/>
  <c r="Z29" i="25"/>
  <c r="AE29" i="25"/>
  <c r="Y22" i="25"/>
  <c r="Y19" i="25"/>
  <c r="M17" i="25"/>
  <c r="F17" i="25"/>
  <c r="D21" i="25"/>
  <c r="Q13" i="25"/>
  <c r="K10" i="25"/>
  <c r="M37" i="25"/>
  <c r="L39" i="25"/>
  <c r="K39" i="25"/>
  <c r="G38" i="25"/>
  <c r="L37" i="25"/>
  <c r="U36" i="25"/>
  <c r="G35" i="25"/>
  <c r="U34" i="25"/>
  <c r="M33" i="25"/>
  <c r="M32" i="25"/>
  <c r="U28" i="25"/>
  <c r="M28" i="25"/>
  <c r="U26" i="25"/>
  <c r="M26" i="25"/>
  <c r="X29" i="25"/>
  <c r="P29" i="25"/>
  <c r="I29" i="25"/>
  <c r="J29" i="25"/>
  <c r="U19" i="25"/>
  <c r="F18" i="25"/>
  <c r="Y17" i="25"/>
  <c r="K17" i="25"/>
  <c r="AG21" i="25"/>
  <c r="AC21" i="25"/>
  <c r="U15" i="25"/>
  <c r="M11" i="25"/>
  <c r="M13" i="25" s="1"/>
  <c r="I13" i="25"/>
  <c r="I30" i="25" s="1"/>
  <c r="M35" i="25"/>
  <c r="F35" i="25"/>
  <c r="M34" i="25"/>
  <c r="H31" i="25"/>
  <c r="L33" i="25"/>
  <c r="AB31" i="25"/>
  <c r="E31" i="25"/>
  <c r="O42" i="25"/>
  <c r="Y27" i="25"/>
  <c r="M27" i="25"/>
  <c r="C29" i="25"/>
  <c r="AE21" i="25"/>
  <c r="N21" i="25"/>
  <c r="X21" i="25"/>
  <c r="X30" i="25" s="1"/>
  <c r="X42" i="25" s="1"/>
  <c r="Q21" i="25"/>
  <c r="AF42" i="25"/>
  <c r="D31" i="25"/>
  <c r="G33" i="25"/>
  <c r="AC29" i="25"/>
  <c r="M19" i="25"/>
  <c r="AG13" i="25"/>
  <c r="I21" i="25"/>
  <c r="L21" i="25" s="1"/>
  <c r="L14" i="25"/>
  <c r="R31" i="25"/>
  <c r="U20" i="25"/>
  <c r="Z21" i="25"/>
  <c r="Y15" i="25"/>
  <c r="Y13" i="25"/>
  <c r="Y18" i="25"/>
  <c r="M39" i="25"/>
  <c r="F37" i="25"/>
  <c r="M36" i="25"/>
  <c r="K27" i="25"/>
  <c r="K29" i="25" s="1"/>
  <c r="L27" i="25"/>
  <c r="AG29" i="25"/>
  <c r="R29" i="25"/>
  <c r="H29" i="25"/>
  <c r="H30" i="25" s="1"/>
  <c r="H42" i="25" s="1"/>
  <c r="AB21" i="25"/>
  <c r="P21" i="25"/>
  <c r="R13" i="25"/>
  <c r="U38" i="25"/>
  <c r="U33" i="25"/>
  <c r="V31" i="25"/>
  <c r="Y28" i="25"/>
  <c r="AA29" i="25"/>
  <c r="K12" i="25"/>
  <c r="L12" i="25"/>
  <c r="F16" i="25"/>
  <c r="G16" i="25"/>
  <c r="R21" i="25"/>
  <c r="V29" i="25"/>
  <c r="K23" i="25"/>
  <c r="L23" i="25"/>
  <c r="Q29" i="25"/>
  <c r="Q30" i="25" s="1"/>
  <c r="F20" i="25"/>
  <c r="G20" i="25"/>
  <c r="U16" i="25"/>
  <c r="U21" i="25" s="1"/>
  <c r="AC13" i="25"/>
  <c r="D13" i="25"/>
  <c r="Y36" i="25"/>
  <c r="Z31" i="25"/>
  <c r="I31" i="25"/>
  <c r="L32" i="25"/>
  <c r="G22" i="25"/>
  <c r="G29" i="25" s="1"/>
  <c r="D29" i="25"/>
  <c r="Y14" i="25"/>
  <c r="V13" i="25"/>
  <c r="U11" i="25"/>
  <c r="AB29" i="25"/>
  <c r="M15" i="25"/>
  <c r="N13" i="25"/>
  <c r="Y32" i="25"/>
  <c r="M14" i="25"/>
  <c r="AB13" i="25"/>
  <c r="S31" i="25"/>
  <c r="V21" i="25"/>
  <c r="S13" i="25"/>
  <c r="C13" i="25"/>
  <c r="N31" i="25"/>
  <c r="F22" i="25"/>
  <c r="K14" i="25"/>
  <c r="Z13" i="25"/>
  <c r="Z30" i="25" s="1"/>
  <c r="J13" i="25"/>
  <c r="Y24" i="25"/>
  <c r="G10" i="25"/>
  <c r="F10" i="25"/>
  <c r="F32" i="25"/>
  <c r="F31" i="25" s="1"/>
  <c r="S29" i="25"/>
  <c r="L31" i="25" l="1"/>
  <c r="M29" i="25"/>
  <c r="C30" i="25"/>
  <c r="C42" i="25" s="1"/>
  <c r="U13" i="25"/>
  <c r="Q42" i="25"/>
  <c r="AA30" i="25"/>
  <c r="AA42" i="25" s="1"/>
  <c r="P30" i="25"/>
  <c r="P42" i="25" s="1"/>
  <c r="M31" i="25"/>
  <c r="I42" i="25"/>
  <c r="D30" i="25"/>
  <c r="D42" i="25" s="1"/>
  <c r="Y21" i="25"/>
  <c r="AE30" i="25"/>
  <c r="AE42" i="25" s="1"/>
  <c r="AC30" i="25"/>
  <c r="AC42" i="25" s="1"/>
  <c r="Y29" i="25"/>
  <c r="Y30" i="25" s="1"/>
  <c r="Y42" i="25" s="1"/>
  <c r="F29" i="25"/>
  <c r="U30" i="25"/>
  <c r="L29" i="25"/>
  <c r="AG30" i="25"/>
  <c r="AG42" i="25" s="1"/>
  <c r="N30" i="25"/>
  <c r="N42" i="25" s="1"/>
  <c r="U31" i="25"/>
  <c r="G31" i="25"/>
  <c r="K21" i="25"/>
  <c r="V30" i="25"/>
  <c r="V42" i="25" s="1"/>
  <c r="G13" i="25"/>
  <c r="Y31" i="25"/>
  <c r="AB30" i="25"/>
  <c r="AB42" i="25" s="1"/>
  <c r="E14" i="25"/>
  <c r="M21" i="25"/>
  <c r="M30" i="25" s="1"/>
  <c r="F13" i="25"/>
  <c r="K13" i="25"/>
  <c r="J30" i="25"/>
  <c r="L13" i="25"/>
  <c r="Z42" i="25"/>
  <c r="R30" i="25"/>
  <c r="R42" i="25" s="1"/>
  <c r="S30" i="25"/>
  <c r="S42" i="25" s="1"/>
  <c r="M42" i="25" l="1"/>
  <c r="U42" i="25"/>
  <c r="F14" i="25"/>
  <c r="G14" i="25"/>
  <c r="E21" i="25"/>
  <c r="L30" i="25"/>
  <c r="K30" i="25"/>
  <c r="J42" i="25"/>
  <c r="AO15" i="23"/>
  <c r="AN15" i="23"/>
  <c r="AM27" i="23"/>
  <c r="AN9" i="23"/>
  <c r="AN10" i="23" s="1"/>
  <c r="AM10" i="23" s="1"/>
  <c r="AM9" i="23"/>
  <c r="AM54" i="23"/>
  <c r="AM53" i="23"/>
  <c r="AN50" i="23"/>
  <c r="AM46" i="23"/>
  <c r="AN44" i="23"/>
  <c r="AM34" i="23"/>
  <c r="AM33" i="23"/>
  <c r="AM32" i="23"/>
  <c r="AM31" i="23"/>
  <c r="AM30" i="23"/>
  <c r="AM29" i="23"/>
  <c r="AM28" i="23"/>
  <c r="AM26" i="23"/>
  <c r="AM25" i="23"/>
  <c r="AM24" i="23"/>
  <c r="AM23" i="23"/>
  <c r="AM22" i="23"/>
  <c r="AM21" i="23"/>
  <c r="AM20" i="23"/>
  <c r="AM19" i="23"/>
  <c r="AM18" i="23"/>
  <c r="AM17" i="23"/>
  <c r="AM16" i="23"/>
  <c r="AM11" i="23"/>
  <c r="AJ54" i="23"/>
  <c r="AG54" i="23"/>
  <c r="AF54" i="23"/>
  <c r="AR54" i="23" s="1"/>
  <c r="AE54" i="23"/>
  <c r="AA54" i="23"/>
  <c r="X54" i="23"/>
  <c r="W54" i="23"/>
  <c r="R54" i="23"/>
  <c r="J54" i="23"/>
  <c r="I54" i="23"/>
  <c r="O54" i="23" s="1"/>
  <c r="D54" i="23"/>
  <c r="AT53" i="23"/>
  <c r="AJ53" i="23"/>
  <c r="AI53" i="23"/>
  <c r="AH53" i="23"/>
  <c r="AF53" i="23"/>
  <c r="AE53" i="23"/>
  <c r="AT52" i="23"/>
  <c r="AI52" i="23"/>
  <c r="AL52" i="23" s="1"/>
  <c r="AJ52" i="23" s="1"/>
  <c r="AH52" i="23"/>
  <c r="AF52" i="23"/>
  <c r="AE52" i="23"/>
  <c r="AA52" i="23"/>
  <c r="X52" i="23"/>
  <c r="V52" i="23"/>
  <c r="O52" i="23"/>
  <c r="N52" i="23"/>
  <c r="J52" i="23"/>
  <c r="H52" i="23"/>
  <c r="H54" i="23" s="1"/>
  <c r="N54" i="23" s="1"/>
  <c r="AT51" i="23"/>
  <c r="AI51" i="23"/>
  <c r="AH51" i="23"/>
  <c r="AF51" i="23"/>
  <c r="AE51" i="23"/>
  <c r="AD51" i="23" s="1"/>
  <c r="AA51" i="23"/>
  <c r="AA50" i="23" s="1"/>
  <c r="X51" i="23"/>
  <c r="V51" i="23"/>
  <c r="U51" i="23" s="1"/>
  <c r="O51" i="23"/>
  <c r="J51" i="23"/>
  <c r="H51" i="23"/>
  <c r="H50" i="23" s="1"/>
  <c r="N50" i="23" s="1"/>
  <c r="M50" i="23" s="1"/>
  <c r="AK50" i="23"/>
  <c r="AC50" i="23"/>
  <c r="AF50" i="23" s="1"/>
  <c r="AB50" i="23"/>
  <c r="AE50" i="23" s="1"/>
  <c r="X50" i="23"/>
  <c r="O50" i="23"/>
  <c r="J50" i="23"/>
  <c r="C50" i="23"/>
  <c r="AT49" i="23"/>
  <c r="AL49" i="23"/>
  <c r="AO49" i="23" s="1"/>
  <c r="AM49" i="23" s="1"/>
  <c r="AG49" i="23"/>
  <c r="AF49" i="23"/>
  <c r="AE49" i="23"/>
  <c r="AA49" i="23"/>
  <c r="X49" i="23"/>
  <c r="W49" i="23"/>
  <c r="V49" i="23"/>
  <c r="R49" i="23"/>
  <c r="J49" i="23"/>
  <c r="I49" i="23"/>
  <c r="O49" i="23" s="1"/>
  <c r="H49" i="23"/>
  <c r="D49" i="23"/>
  <c r="AT48" i="23"/>
  <c r="AI48" i="23"/>
  <c r="AL48" i="23" s="1"/>
  <c r="AH48" i="23"/>
  <c r="AK48" i="23" s="1"/>
  <c r="AE48" i="23"/>
  <c r="AC48" i="23"/>
  <c r="X48" i="23"/>
  <c r="V48" i="23"/>
  <c r="U48" i="23" s="1"/>
  <c r="P48" i="23"/>
  <c r="O48" i="23"/>
  <c r="N48" i="23"/>
  <c r="M48" i="23" s="1"/>
  <c r="J48" i="23"/>
  <c r="H48" i="23"/>
  <c r="G48" i="23"/>
  <c r="AT47" i="23"/>
  <c r="AI47" i="23"/>
  <c r="AG47" i="23" s="1"/>
  <c r="AH47" i="23"/>
  <c r="AF47" i="23"/>
  <c r="AR47" i="23" s="1"/>
  <c r="AE47" i="23"/>
  <c r="AD47" i="23"/>
  <c r="AA47" i="23"/>
  <c r="X47" i="23"/>
  <c r="W47" i="23"/>
  <c r="U47" i="23" s="1"/>
  <c r="N47" i="23"/>
  <c r="J47" i="23"/>
  <c r="I47" i="23"/>
  <c r="O47" i="23" s="1"/>
  <c r="AT46" i="23"/>
  <c r="AJ46" i="23"/>
  <c r="AI46" i="23"/>
  <c r="AH46" i="23"/>
  <c r="AF46" i="23"/>
  <c r="AE46" i="23"/>
  <c r="AQ46" i="23" s="1"/>
  <c r="AA46" i="23"/>
  <c r="X46" i="23"/>
  <c r="W46" i="23"/>
  <c r="U46" i="23" s="1"/>
  <c r="N46" i="23"/>
  <c r="J46" i="23"/>
  <c r="I46" i="23"/>
  <c r="G46" i="23" s="1"/>
  <c r="P46" i="23" s="1"/>
  <c r="AT45" i="23"/>
  <c r="AL45" i="23"/>
  <c r="AO45" i="23" s="1"/>
  <c r="AK45" i="23"/>
  <c r="AN45" i="23" s="1"/>
  <c r="AG45" i="23"/>
  <c r="AC45" i="23"/>
  <c r="AB45" i="23"/>
  <c r="AE45" i="23" s="1"/>
  <c r="X45" i="23"/>
  <c r="V45" i="23"/>
  <c r="U45" i="23" s="1"/>
  <c r="O45" i="23"/>
  <c r="J45" i="23"/>
  <c r="H45" i="23"/>
  <c r="N45" i="23" s="1"/>
  <c r="AL44" i="23"/>
  <c r="AO44" i="23" s="1"/>
  <c r="AK44" i="23"/>
  <c r="AG44" i="23"/>
  <c r="AC44" i="23"/>
  <c r="AF44" i="23" s="1"/>
  <c r="AB44" i="23"/>
  <c r="X44" i="23"/>
  <c r="O44" i="23"/>
  <c r="N44" i="23"/>
  <c r="J44" i="23"/>
  <c r="AL43" i="23"/>
  <c r="AO43" i="23" s="1"/>
  <c r="AK43" i="23"/>
  <c r="AG43" i="23"/>
  <c r="AE43" i="23"/>
  <c r="AC43" i="23"/>
  <c r="AF43" i="23" s="1"/>
  <c r="AB43" i="23"/>
  <c r="X43" i="23"/>
  <c r="O43" i="23"/>
  <c r="N43" i="23"/>
  <c r="J43" i="23"/>
  <c r="AL42" i="23"/>
  <c r="AK42" i="23"/>
  <c r="AN42" i="23" s="1"/>
  <c r="AG42" i="23"/>
  <c r="AF42" i="23"/>
  <c r="AR42" i="23" s="1"/>
  <c r="AC42" i="23"/>
  <c r="AB42" i="23"/>
  <c r="AE42" i="23" s="1"/>
  <c r="X42" i="23"/>
  <c r="O42" i="23"/>
  <c r="N42" i="23"/>
  <c r="M42" i="23" s="1"/>
  <c r="J42" i="23"/>
  <c r="AL41" i="23"/>
  <c r="AO41" i="23" s="1"/>
  <c r="AK41" i="23"/>
  <c r="AN41" i="23" s="1"/>
  <c r="AG41" i="23"/>
  <c r="AC41" i="23"/>
  <c r="AF41" i="23" s="1"/>
  <c r="AR41" i="23" s="1"/>
  <c r="X41" i="23"/>
  <c r="V41" i="23"/>
  <c r="AB41" i="23" s="1"/>
  <c r="O41" i="23"/>
  <c r="J41" i="23"/>
  <c r="H41" i="23"/>
  <c r="N41" i="23" s="1"/>
  <c r="M41" i="23" s="1"/>
  <c r="AL40" i="23"/>
  <c r="AK40" i="23"/>
  <c r="AG40" i="23"/>
  <c r="AE40" i="23"/>
  <c r="AC40" i="23"/>
  <c r="AF40" i="23" s="1"/>
  <c r="AB40" i="23"/>
  <c r="X40" i="23"/>
  <c r="O40" i="23"/>
  <c r="M40" i="23" s="1"/>
  <c r="N40" i="23"/>
  <c r="J40" i="23"/>
  <c r="AL39" i="23"/>
  <c r="AO39" i="23" s="1"/>
  <c r="AK39" i="23"/>
  <c r="AG39" i="23"/>
  <c r="AC39" i="23"/>
  <c r="AB39" i="23"/>
  <c r="AE39" i="23" s="1"/>
  <c r="X39" i="23"/>
  <c r="O39" i="23"/>
  <c r="N39" i="23"/>
  <c r="M39" i="23" s="1"/>
  <c r="J39" i="23"/>
  <c r="AL38" i="23"/>
  <c r="AO38" i="23" s="1"/>
  <c r="AK38" i="23"/>
  <c r="AG38" i="23"/>
  <c r="AB38" i="23"/>
  <c r="O38" i="23"/>
  <c r="N38" i="23"/>
  <c r="J38" i="23"/>
  <c r="AL37" i="23"/>
  <c r="AO37" i="23" s="1"/>
  <c r="AK37" i="23"/>
  <c r="AN37" i="23" s="1"/>
  <c r="AG37" i="23"/>
  <c r="AC37" i="23"/>
  <c r="AF37" i="23" s="1"/>
  <c r="AB37" i="23"/>
  <c r="X37" i="23"/>
  <c r="O37" i="23"/>
  <c r="N37" i="23"/>
  <c r="J37" i="23"/>
  <c r="AL36" i="23"/>
  <c r="AK36" i="23"/>
  <c r="AN36" i="23" s="1"/>
  <c r="AG36" i="23"/>
  <c r="AF36" i="23"/>
  <c r="AC36" i="23"/>
  <c r="X36" i="23"/>
  <c r="V36" i="23"/>
  <c r="O36" i="23"/>
  <c r="J36" i="23"/>
  <c r="H36" i="23"/>
  <c r="N36" i="23" s="1"/>
  <c r="AL35" i="23"/>
  <c r="AO35" i="23" s="1"/>
  <c r="AK35" i="23"/>
  <c r="AN35" i="23" s="1"/>
  <c r="AG35" i="23"/>
  <c r="AC35" i="23"/>
  <c r="AF35" i="23" s="1"/>
  <c r="AB35" i="23"/>
  <c r="X35" i="23"/>
  <c r="O35" i="23"/>
  <c r="N35" i="23"/>
  <c r="J35" i="23"/>
  <c r="AT34" i="23"/>
  <c r="AJ34" i="23"/>
  <c r="AI34" i="23"/>
  <c r="AH34" i="23"/>
  <c r="AF34" i="23"/>
  <c r="AR34" i="23" s="1"/>
  <c r="X34" i="23"/>
  <c r="W34" i="23"/>
  <c r="K34" i="23"/>
  <c r="J34" i="23"/>
  <c r="I34" i="23"/>
  <c r="O34" i="23" s="1"/>
  <c r="AT33" i="23"/>
  <c r="AJ33" i="23"/>
  <c r="AI33" i="23"/>
  <c r="AH33" i="23"/>
  <c r="AF33" i="23"/>
  <c r="AE33" i="23"/>
  <c r="AQ33" i="23" s="1"/>
  <c r="AA33" i="23"/>
  <c r="X33" i="23"/>
  <c r="W33" i="23"/>
  <c r="V33" i="23"/>
  <c r="J33" i="23"/>
  <c r="I33" i="23"/>
  <c r="H33" i="23"/>
  <c r="N33" i="23" s="1"/>
  <c r="AT32" i="23"/>
  <c r="AJ32" i="23"/>
  <c r="AI32" i="23"/>
  <c r="AH32" i="23"/>
  <c r="AE32" i="23"/>
  <c r="AQ32" i="23" s="1"/>
  <c r="AC32" i="23"/>
  <c r="AF32" i="23" s="1"/>
  <c r="X32" i="23"/>
  <c r="V32" i="23"/>
  <c r="U32" i="23" s="1"/>
  <c r="O32" i="23"/>
  <c r="M32" i="23"/>
  <c r="J32" i="23"/>
  <c r="H32" i="23"/>
  <c r="G32" i="23" s="1"/>
  <c r="D32" i="23"/>
  <c r="AJ31" i="23"/>
  <c r="AG31" i="23"/>
  <c r="AE31" i="23"/>
  <c r="AC31" i="23"/>
  <c r="U31" i="23"/>
  <c r="O31" i="23"/>
  <c r="N31" i="23"/>
  <c r="M31" i="23" s="1"/>
  <c r="G31" i="23"/>
  <c r="AT30" i="23"/>
  <c r="AS30" i="23" s="1"/>
  <c r="AJ30" i="23"/>
  <c r="AI30" i="23"/>
  <c r="AH30" i="23"/>
  <c r="AE30" i="23"/>
  <c r="AQ30" i="23" s="1"/>
  <c r="AC30" i="23"/>
  <c r="AA30" i="23" s="1"/>
  <c r="V30" i="23"/>
  <c r="U30" i="23" s="1"/>
  <c r="O30" i="23"/>
  <c r="H30" i="23"/>
  <c r="N30" i="23" s="1"/>
  <c r="G30" i="23"/>
  <c r="AT29" i="23"/>
  <c r="AQ29" i="23"/>
  <c r="AJ29" i="23"/>
  <c r="AI29" i="23"/>
  <c r="AH29" i="23"/>
  <c r="AF29" i="23"/>
  <c r="AE29" i="23"/>
  <c r="AA29" i="23"/>
  <c r="W29" i="23"/>
  <c r="U29" i="23" s="1"/>
  <c r="N29" i="23"/>
  <c r="I29" i="23"/>
  <c r="O29" i="23" s="1"/>
  <c r="AT28" i="23"/>
  <c r="AJ28" i="23"/>
  <c r="AI28" i="23"/>
  <c r="AH28" i="23"/>
  <c r="AF28" i="23"/>
  <c r="AR28" i="23" s="1"/>
  <c r="AE28" i="23"/>
  <c r="AA28" i="23"/>
  <c r="W28" i="23"/>
  <c r="U28" i="23" s="1"/>
  <c r="N28" i="23"/>
  <c r="I28" i="23"/>
  <c r="O28" i="23" s="1"/>
  <c r="AT27" i="23"/>
  <c r="AJ27" i="23"/>
  <c r="AI27" i="23"/>
  <c r="AH27" i="23"/>
  <c r="AF27" i="23"/>
  <c r="AR27" i="23" s="1"/>
  <c r="AE27" i="23"/>
  <c r="AA27" i="23"/>
  <c r="W27" i="23"/>
  <c r="U27" i="23" s="1"/>
  <c r="N27" i="23"/>
  <c r="I27" i="23"/>
  <c r="O27" i="23" s="1"/>
  <c r="M27" i="23" s="1"/>
  <c r="AT26" i="23"/>
  <c r="AJ26" i="23"/>
  <c r="AI26" i="23"/>
  <c r="AH26" i="23"/>
  <c r="AF26" i="23"/>
  <c r="AR26" i="23" s="1"/>
  <c r="AE26" i="23"/>
  <c r="AA26" i="23"/>
  <c r="X26" i="23"/>
  <c r="W26" i="23"/>
  <c r="U26" i="23" s="1"/>
  <c r="K26" i="23"/>
  <c r="N26" i="23" s="1"/>
  <c r="J26" i="23"/>
  <c r="I26" i="23"/>
  <c r="O26" i="23" s="1"/>
  <c r="AT25" i="23"/>
  <c r="AI25" i="23"/>
  <c r="AH25" i="23"/>
  <c r="AF25" i="23"/>
  <c r="AR25" i="23" s="1"/>
  <c r="AE25" i="23"/>
  <c r="AA25" i="23"/>
  <c r="X25" i="23"/>
  <c r="W25" i="23"/>
  <c r="N25" i="23"/>
  <c r="J25" i="23"/>
  <c r="I25" i="23"/>
  <c r="AJ24" i="23"/>
  <c r="AG24" i="23"/>
  <c r="AF24" i="23"/>
  <c r="AE24" i="23"/>
  <c r="AQ24" i="23" s="1"/>
  <c r="AJ23" i="23"/>
  <c r="AS23" i="23" s="1"/>
  <c r="AG23" i="23"/>
  <c r="AF23" i="23"/>
  <c r="AR23" i="23" s="1"/>
  <c r="AE23" i="23"/>
  <c r="AJ22" i="23"/>
  <c r="AS22" i="23" s="1"/>
  <c r="AG22" i="23"/>
  <c r="AF22" i="23"/>
  <c r="AR22" i="23" s="1"/>
  <c r="AB22" i="23"/>
  <c r="AE22" i="23" s="1"/>
  <c r="AJ21" i="23"/>
  <c r="AS21" i="23" s="1"/>
  <c r="AG21" i="23"/>
  <c r="AF21" i="23"/>
  <c r="AR21" i="23" s="1"/>
  <c r="AB21" i="23"/>
  <c r="AE21" i="23" s="1"/>
  <c r="AQ21" i="23" s="1"/>
  <c r="AJ20" i="23"/>
  <c r="AS20" i="23" s="1"/>
  <c r="AG20" i="23"/>
  <c r="AF20" i="23"/>
  <c r="AR20" i="23" s="1"/>
  <c r="AE20" i="23"/>
  <c r="AJ19" i="23"/>
  <c r="AS19" i="23" s="1"/>
  <c r="AG19" i="23"/>
  <c r="AC19" i="23"/>
  <c r="AF19" i="23" s="1"/>
  <c r="AR19" i="23" s="1"/>
  <c r="V19" i="23"/>
  <c r="AB19" i="23" s="1"/>
  <c r="P19" i="23"/>
  <c r="O19" i="23"/>
  <c r="H19" i="23"/>
  <c r="N19" i="23" s="1"/>
  <c r="M19" i="23" s="1"/>
  <c r="AJ18" i="23"/>
  <c r="AS18" i="23" s="1"/>
  <c r="AG18" i="23"/>
  <c r="AC18" i="23"/>
  <c r="AF18" i="23" s="1"/>
  <c r="AR18" i="23" s="1"/>
  <c r="V18" i="23"/>
  <c r="AB18" i="23" s="1"/>
  <c r="P18" i="23"/>
  <c r="O18" i="23"/>
  <c r="K18" i="23"/>
  <c r="H18" i="23"/>
  <c r="AJ17" i="23"/>
  <c r="AS17" i="23" s="1"/>
  <c r="AG17" i="23"/>
  <c r="AC17" i="23"/>
  <c r="AF17" i="23" s="1"/>
  <c r="AR17" i="23" s="1"/>
  <c r="V17" i="23"/>
  <c r="AB17" i="23" s="1"/>
  <c r="P17" i="23"/>
  <c r="O17" i="23"/>
  <c r="K17" i="23"/>
  <c r="H17" i="23"/>
  <c r="AJ16" i="23"/>
  <c r="AS16" i="23" s="1"/>
  <c r="AG16" i="23"/>
  <c r="AC16" i="23"/>
  <c r="AF16" i="23" s="1"/>
  <c r="AR16" i="23" s="1"/>
  <c r="V16" i="23"/>
  <c r="AB16" i="23" s="1"/>
  <c r="P16" i="23"/>
  <c r="O16" i="23"/>
  <c r="K16" i="23"/>
  <c r="H16" i="23"/>
  <c r="AT15" i="23"/>
  <c r="AJ15" i="23"/>
  <c r="AI15" i="23"/>
  <c r="AH15" i="23"/>
  <c r="AF15" i="23"/>
  <c r="AR15" i="23" s="1"/>
  <c r="AE15" i="23"/>
  <c r="AQ15" i="23" s="1"/>
  <c r="AA15" i="23"/>
  <c r="Y15" i="23"/>
  <c r="Y14" i="23" s="1"/>
  <c r="Y8" i="23" s="1"/>
  <c r="Y7" i="23" s="1"/>
  <c r="X15" i="23"/>
  <c r="W15" i="23"/>
  <c r="L15" i="23"/>
  <c r="L14" i="23" s="1"/>
  <c r="I15" i="23"/>
  <c r="Z14" i="23"/>
  <c r="R14" i="23"/>
  <c r="D14" i="23"/>
  <c r="C14" i="23"/>
  <c r="AS13" i="23"/>
  <c r="AR13" i="23"/>
  <c r="AQ13" i="23"/>
  <c r="AP13" i="23"/>
  <c r="AS12" i="23"/>
  <c r="AR12" i="23"/>
  <c r="AQ12" i="23"/>
  <c r="AP12" i="23"/>
  <c r="AT11" i="23"/>
  <c r="AR11" i="23"/>
  <c r="AQ11" i="23"/>
  <c r="AJ11" i="23"/>
  <c r="AP11" i="23" s="1"/>
  <c r="AG11" i="23"/>
  <c r="AD11" i="23"/>
  <c r="AA11" i="23"/>
  <c r="U11" i="23"/>
  <c r="O11" i="23"/>
  <c r="N11" i="23"/>
  <c r="G11" i="23"/>
  <c r="AT10" i="23"/>
  <c r="AR10" i="23"/>
  <c r="AK10" i="23"/>
  <c r="AJ10" i="23"/>
  <c r="AE10" i="23"/>
  <c r="AD10" i="23" s="1"/>
  <c r="AB10" i="23"/>
  <c r="AA10" i="23"/>
  <c r="U10" i="23"/>
  <c r="O10" i="23"/>
  <c r="N10" i="23"/>
  <c r="M10" i="23" s="1"/>
  <c r="G10" i="23"/>
  <c r="AT9" i="23"/>
  <c r="AR9" i="23"/>
  <c r="AQ9" i="23"/>
  <c r="AJ9" i="23"/>
  <c r="AI9" i="23"/>
  <c r="AH9" i="23"/>
  <c r="AH10" i="23" s="1"/>
  <c r="AG10" i="23" s="1"/>
  <c r="AD9" i="23"/>
  <c r="AA9" i="23"/>
  <c r="Z9" i="23"/>
  <c r="Y9" i="23"/>
  <c r="X9" i="23"/>
  <c r="W9" i="23"/>
  <c r="V9" i="23"/>
  <c r="U9" i="23" s="1"/>
  <c r="R9" i="23"/>
  <c r="O9" i="23"/>
  <c r="N9" i="23"/>
  <c r="L9" i="23"/>
  <c r="K9" i="23"/>
  <c r="J9" i="23"/>
  <c r="I9" i="23"/>
  <c r="H9" i="23"/>
  <c r="D9" i="23"/>
  <c r="T8" i="23"/>
  <c r="S8" i="23"/>
  <c r="S7" i="23" s="1"/>
  <c r="F8" i="23"/>
  <c r="F7" i="23" s="1"/>
  <c r="E8" i="23"/>
  <c r="E7" i="23" s="1"/>
  <c r="T7" i="23"/>
  <c r="O46" i="23" l="1"/>
  <c r="M46" i="23" s="1"/>
  <c r="M54" i="23"/>
  <c r="W14" i="23"/>
  <c r="AG26" i="23"/>
  <c r="W8" i="23"/>
  <c r="W7" i="23" s="1"/>
  <c r="AG28" i="23"/>
  <c r="M29" i="23"/>
  <c r="M38" i="23"/>
  <c r="M44" i="23"/>
  <c r="G45" i="23"/>
  <c r="G47" i="23"/>
  <c r="P47" i="23" s="1"/>
  <c r="G52" i="23"/>
  <c r="AD52" i="23"/>
  <c r="AG53" i="23"/>
  <c r="G9" i="23"/>
  <c r="AJ39" i="23"/>
  <c r="AS39" i="23" s="1"/>
  <c r="AA40" i="23"/>
  <c r="M45" i="23"/>
  <c r="M47" i="23"/>
  <c r="AM44" i="23"/>
  <c r="AD50" i="23"/>
  <c r="D8" i="23"/>
  <c r="D7" i="23" s="1"/>
  <c r="R8" i="23"/>
  <c r="R7" i="23" s="1"/>
  <c r="M11" i="23"/>
  <c r="M9" i="23" s="1"/>
  <c r="AD15" i="23"/>
  <c r="AD26" i="23"/>
  <c r="M28" i="23"/>
  <c r="AG30" i="23"/>
  <c r="AG34" i="23"/>
  <c r="M37" i="23"/>
  <c r="AJ41" i="23"/>
  <c r="AS41" i="23" s="1"/>
  <c r="AA42" i="23"/>
  <c r="M43" i="23"/>
  <c r="C8" i="23"/>
  <c r="C7" i="23" s="1"/>
  <c r="AG52" i="23"/>
  <c r="AA18" i="23"/>
  <c r="AE18" i="23"/>
  <c r="V34" i="23"/>
  <c r="U34" i="23" s="1"/>
  <c r="AB36" i="23"/>
  <c r="AB34" i="23" s="1"/>
  <c r="AM36" i="23"/>
  <c r="N18" i="23"/>
  <c r="M18" i="23" s="1"/>
  <c r="O25" i="23"/>
  <c r="M25" i="23" s="1"/>
  <c r="G25" i="23"/>
  <c r="P25" i="23" s="1"/>
  <c r="AS29" i="23"/>
  <c r="AF31" i="23"/>
  <c r="AD31" i="23" s="1"/>
  <c r="AA31" i="23"/>
  <c r="AQ39" i="23"/>
  <c r="AN39" i="23"/>
  <c r="AM39" i="23" s="1"/>
  <c r="AJ43" i="23"/>
  <c r="AN43" i="23"/>
  <c r="AM43" i="23" s="1"/>
  <c r="AA48" i="23"/>
  <c r="AF48" i="23"/>
  <c r="AD48" i="23" s="1"/>
  <c r="Z8" i="23"/>
  <c r="Z7" i="23" s="1"/>
  <c r="X14" i="23"/>
  <c r="X8" i="23" s="1"/>
  <c r="X7" i="23" s="1"/>
  <c r="AR24" i="23"/>
  <c r="AD24" i="23"/>
  <c r="AP24" i="23" s="1"/>
  <c r="AP26" i="23"/>
  <c r="AR29" i="23"/>
  <c r="AD29" i="23"/>
  <c r="AP29" i="23" s="1"/>
  <c r="AJ38" i="23"/>
  <c r="AS38" i="23" s="1"/>
  <c r="AN38" i="23"/>
  <c r="AM38" i="23" s="1"/>
  <c r="AQ40" i="23"/>
  <c r="AN40" i="23"/>
  <c r="AM40" i="23" s="1"/>
  <c r="AJ40" i="23"/>
  <c r="AP40" i="23" s="1"/>
  <c r="AD42" i="23"/>
  <c r="AR43" i="23"/>
  <c r="V54" i="23"/>
  <c r="U54" i="23" s="1"/>
  <c r="U52" i="23"/>
  <c r="U50" i="23" s="1"/>
  <c r="AD25" i="23"/>
  <c r="AQ26" i="23"/>
  <c r="AM35" i="23"/>
  <c r="AR36" i="23"/>
  <c r="AO36" i="23"/>
  <c r="AM37" i="23"/>
  <c r="AD40" i="23"/>
  <c r="AR40" i="23"/>
  <c r="AM41" i="23"/>
  <c r="AJ42" i="23"/>
  <c r="AP42" i="23" s="1"/>
  <c r="AO42" i="23"/>
  <c r="AM42" i="23" s="1"/>
  <c r="AD43" i="23"/>
  <c r="AP43" i="23" s="1"/>
  <c r="V50" i="23"/>
  <c r="AO40" i="23"/>
  <c r="AS10" i="23"/>
  <c r="AG32" i="23"/>
  <c r="M52" i="23"/>
  <c r="AG9" i="23"/>
  <c r="AQ10" i="23"/>
  <c r="L8" i="23"/>
  <c r="L7" i="23" s="1"/>
  <c r="AD20" i="23"/>
  <c r="AP20" i="23" s="1"/>
  <c r="AD32" i="23"/>
  <c r="AP32" i="23" s="1"/>
  <c r="AJ36" i="23"/>
  <c r="AS36" i="23" s="1"/>
  <c r="AA43" i="23"/>
  <c r="AG46" i="23"/>
  <c r="G49" i="23"/>
  <c r="P49" i="23" s="1"/>
  <c r="AD49" i="23"/>
  <c r="AQ49" i="23"/>
  <c r="AH50" i="23"/>
  <c r="AS52" i="23"/>
  <c r="AM15" i="23"/>
  <c r="G21" i="25"/>
  <c r="F21" i="25"/>
  <c r="E30" i="25"/>
  <c r="K42" i="25"/>
  <c r="L42" i="25"/>
  <c r="AO48" i="23"/>
  <c r="AL14" i="23"/>
  <c r="G26" i="23"/>
  <c r="P26" i="23" s="1"/>
  <c r="G27" i="23"/>
  <c r="P27" i="23" s="1"/>
  <c r="AG27" i="23"/>
  <c r="G29" i="23"/>
  <c r="P29" i="23" s="1"/>
  <c r="AG48" i="23"/>
  <c r="AT50" i="23"/>
  <c r="G54" i="23"/>
  <c r="Q54" i="23" s="1"/>
  <c r="AS34" i="23"/>
  <c r="AO14" i="23"/>
  <c r="AM45" i="23"/>
  <c r="AN48" i="23"/>
  <c r="AJ48" i="23"/>
  <c r="AS48" i="23" s="1"/>
  <c r="AK47" i="23"/>
  <c r="AK14" i="23" s="1"/>
  <c r="AQ48" i="23"/>
  <c r="H15" i="23"/>
  <c r="G15" i="23" s="1"/>
  <c r="P15" i="23" s="1"/>
  <c r="I14" i="23"/>
  <c r="I8" i="23" s="1"/>
  <c r="I7" i="23" s="1"/>
  <c r="G28" i="23"/>
  <c r="P28" i="23" s="1"/>
  <c r="AG29" i="23"/>
  <c r="U33" i="23"/>
  <c r="AJ45" i="23"/>
  <c r="N51" i="23"/>
  <c r="M51" i="23" s="1"/>
  <c r="O15" i="23"/>
  <c r="AI50" i="23"/>
  <c r="N17" i="23"/>
  <c r="M17" i="23" s="1"/>
  <c r="AQ45" i="23"/>
  <c r="U49" i="23"/>
  <c r="AL51" i="23"/>
  <c r="AO51" i="23" s="1"/>
  <c r="M26" i="23"/>
  <c r="AS15" i="23"/>
  <c r="U25" i="23"/>
  <c r="AS46" i="23"/>
  <c r="G51" i="23"/>
  <c r="AO52" i="23"/>
  <c r="AM52" i="23" s="1"/>
  <c r="AG33" i="23"/>
  <c r="AP10" i="23"/>
  <c r="P9" i="23"/>
  <c r="Q9" i="23"/>
  <c r="M36" i="23"/>
  <c r="N34" i="23"/>
  <c r="M34" i="23" s="1"/>
  <c r="K15" i="23"/>
  <c r="N16" i="23"/>
  <c r="AQ27" i="23"/>
  <c r="AD27" i="23"/>
  <c r="AE44" i="23"/>
  <c r="AA44" i="23"/>
  <c r="AQ20" i="23"/>
  <c r="AQ25" i="23"/>
  <c r="AJ25" i="23"/>
  <c r="AQ28" i="23"/>
  <c r="AD28" i="23"/>
  <c r="G33" i="23"/>
  <c r="P33" i="23" s="1"/>
  <c r="O33" i="23"/>
  <c r="M33" i="23" s="1"/>
  <c r="H34" i="23"/>
  <c r="G34" i="23" s="1"/>
  <c r="P34" i="23" s="1"/>
  <c r="AA39" i="23"/>
  <c r="AF39" i="23"/>
  <c r="AS43" i="23"/>
  <c r="AS11" i="23"/>
  <c r="AG15" i="23"/>
  <c r="AI14" i="23"/>
  <c r="AI8" i="23" s="1"/>
  <c r="AI7" i="23" s="1"/>
  <c r="AD22" i="23"/>
  <c r="AP22" i="23" s="1"/>
  <c r="AS24" i="23"/>
  <c r="AF30" i="23"/>
  <c r="AD30" i="23" s="1"/>
  <c r="AP30" i="23" s="1"/>
  <c r="AR33" i="23"/>
  <c r="AD33" i="23"/>
  <c r="AP33" i="23" s="1"/>
  <c r="AD23" i="23"/>
  <c r="AP23" i="23" s="1"/>
  <c r="AQ23" i="23"/>
  <c r="AA16" i="23"/>
  <c r="AE16" i="23"/>
  <c r="AT14" i="23"/>
  <c r="AR35" i="23"/>
  <c r="AJ35" i="23"/>
  <c r="AC38" i="23"/>
  <c r="AS42" i="23"/>
  <c r="AD46" i="23"/>
  <c r="AP46" i="23" s="1"/>
  <c r="AR46" i="23"/>
  <c r="Q49" i="23"/>
  <c r="AP9" i="23"/>
  <c r="AD21" i="23"/>
  <c r="AP21" i="23" s="1"/>
  <c r="AS26" i="23"/>
  <c r="M30" i="23"/>
  <c r="M35" i="23"/>
  <c r="AJ37" i="23"/>
  <c r="AR37" i="23"/>
  <c r="AQ42" i="23"/>
  <c r="AJ44" i="23"/>
  <c r="AR44" i="23"/>
  <c r="AP28" i="23"/>
  <c r="AS32" i="23"/>
  <c r="AD18" i="23"/>
  <c r="AP18" i="23" s="1"/>
  <c r="AQ18" i="23"/>
  <c r="AA19" i="23"/>
  <c r="AE19" i="23"/>
  <c r="AE41" i="23"/>
  <c r="AA41" i="23"/>
  <c r="AQ54" i="23"/>
  <c r="AD54" i="23"/>
  <c r="AP54" i="23" s="1"/>
  <c r="AS9" i="23"/>
  <c r="AC14" i="23"/>
  <c r="AC8" i="23" s="1"/>
  <c r="AC7" i="23" s="1"/>
  <c r="AA17" i="23"/>
  <c r="AE17" i="23"/>
  <c r="AQ22" i="23"/>
  <c r="AG25" i="23"/>
  <c r="AH14" i="23"/>
  <c r="AH8" i="23" s="1"/>
  <c r="AH7" i="23" s="1"/>
  <c r="AS27" i="23"/>
  <c r="Q32" i="23"/>
  <c r="AA32" i="23"/>
  <c r="AS33" i="23"/>
  <c r="AE35" i="23"/>
  <c r="AA35" i="23"/>
  <c r="AA45" i="23"/>
  <c r="AF45" i="23"/>
  <c r="AD45" i="23" s="1"/>
  <c r="AR49" i="23"/>
  <c r="AJ49" i="23"/>
  <c r="AE37" i="23"/>
  <c r="AA37" i="23"/>
  <c r="AS28" i="23"/>
  <c r="AP15" i="23"/>
  <c r="AE38" i="23"/>
  <c r="AQ43" i="23"/>
  <c r="N49" i="23"/>
  <c r="M49" i="23" s="1"/>
  <c r="V15" i="23"/>
  <c r="P32" i="23"/>
  <c r="AG51" i="23"/>
  <c r="AG50" i="23" s="1"/>
  <c r="AJ51" i="23" l="1"/>
  <c r="AL50" i="23"/>
  <c r="AT8" i="23"/>
  <c r="AT7" i="23" s="1"/>
  <c r="AP49" i="23"/>
  <c r="AL8" i="23"/>
  <c r="AL7" i="23" s="1"/>
  <c r="G50" i="23"/>
  <c r="AP45" i="23"/>
  <c r="AS40" i="23"/>
  <c r="AP48" i="23"/>
  <c r="AA36" i="23"/>
  <c r="AE36" i="23"/>
  <c r="E42" i="25"/>
  <c r="F30" i="25"/>
  <c r="G30" i="25"/>
  <c r="AM48" i="23"/>
  <c r="AN47" i="23"/>
  <c r="AM51" i="23"/>
  <c r="AM50" i="23" s="1"/>
  <c r="AO50" i="23"/>
  <c r="AO8" i="23" s="1"/>
  <c r="AO7" i="23" s="1"/>
  <c r="Q51" i="23"/>
  <c r="P51" i="23"/>
  <c r="AK8" i="23"/>
  <c r="AQ17" i="23"/>
  <c r="AD17" i="23"/>
  <c r="AP17" i="23" s="1"/>
  <c r="AS25" i="23"/>
  <c r="AP25" i="23"/>
  <c r="N15" i="23"/>
  <c r="M16" i="23"/>
  <c r="AQ38" i="23"/>
  <c r="AQ41" i="23"/>
  <c r="AD41" i="23"/>
  <c r="AP41" i="23" s="1"/>
  <c r="AS44" i="23"/>
  <c r="AF14" i="23"/>
  <c r="AQ47" i="23"/>
  <c r="AJ47" i="23"/>
  <c r="AJ14" i="23" s="1"/>
  <c r="AD44" i="23"/>
  <c r="AP44" i="23" s="1"/>
  <c r="AQ44" i="23"/>
  <c r="AS37" i="23"/>
  <c r="AS35" i="23"/>
  <c r="AP35" i="23"/>
  <c r="U15" i="23"/>
  <c r="U14" i="23" s="1"/>
  <c r="U8" i="23" s="1"/>
  <c r="U7" i="23" s="1"/>
  <c r="V14" i="23"/>
  <c r="V8" i="23" s="1"/>
  <c r="V7" i="23" s="1"/>
  <c r="AA38" i="23"/>
  <c r="Z38" i="23" s="1"/>
  <c r="X38" i="23" s="1"/>
  <c r="AP27" i="23"/>
  <c r="AA34" i="23"/>
  <c r="AA14" i="23" s="1"/>
  <c r="AA8" i="23" s="1"/>
  <c r="AA7" i="23" s="1"/>
  <c r="AE34" i="23"/>
  <c r="AB14" i="23"/>
  <c r="AB8" i="23" s="1"/>
  <c r="AB7" i="23" s="1"/>
  <c r="AR39" i="23"/>
  <c r="AD39" i="23"/>
  <c r="AP39" i="23" s="1"/>
  <c r="J15" i="23"/>
  <c r="J14" i="23" s="1"/>
  <c r="J8" i="23" s="1"/>
  <c r="J7" i="23" s="1"/>
  <c r="K14" i="23"/>
  <c r="K8" i="23" s="1"/>
  <c r="K7" i="23" s="1"/>
  <c r="AD16" i="23"/>
  <c r="AP16" i="23" s="1"/>
  <c r="AQ16" i="23"/>
  <c r="AQ19" i="23"/>
  <c r="AD19" i="23"/>
  <c r="AP19" i="23" s="1"/>
  <c r="AQ35" i="23"/>
  <c r="AD35" i="23"/>
  <c r="H14" i="23"/>
  <c r="H8" i="23" s="1"/>
  <c r="H7" i="23" s="1"/>
  <c r="AS51" i="23"/>
  <c r="AJ50" i="23"/>
  <c r="AS50" i="23" s="1"/>
  <c r="AQ37" i="23"/>
  <c r="AD37" i="23"/>
  <c r="AP37" i="23" s="1"/>
  <c r="AG14" i="23"/>
  <c r="AG8" i="23" s="1"/>
  <c r="AG7" i="23" s="1"/>
  <c r="O14" i="23"/>
  <c r="O8" i="23" s="1"/>
  <c r="O7" i="23" s="1"/>
  <c r="G14" i="23"/>
  <c r="AD36" i="23" l="1"/>
  <c r="AP36" i="23" s="1"/>
  <c r="AQ36" i="23"/>
  <c r="F42" i="25"/>
  <c r="G42" i="25"/>
  <c r="AM47" i="23"/>
  <c r="AM14" i="23" s="1"/>
  <c r="AM8" i="23" s="1"/>
  <c r="AM7" i="23" s="1"/>
  <c r="AN14" i="23"/>
  <c r="AN8" i="23" s="1"/>
  <c r="AN7" i="23" s="1"/>
  <c r="AS14" i="23"/>
  <c r="AJ8" i="23"/>
  <c r="Q14" i="23"/>
  <c r="P14" i="23"/>
  <c r="G8" i="23"/>
  <c r="AP47" i="23"/>
  <c r="AS47" i="23"/>
  <c r="AF38" i="23"/>
  <c r="AK7" i="23"/>
  <c r="AQ34" i="23"/>
  <c r="AD34" i="23"/>
  <c r="AE14" i="23"/>
  <c r="AR14" i="23"/>
  <c r="AF8" i="23"/>
  <c r="M15" i="23"/>
  <c r="M14" i="23" s="1"/>
  <c r="M8" i="23" s="1"/>
  <c r="M7" i="23" s="1"/>
  <c r="N14" i="23"/>
  <c r="N8" i="23" s="1"/>
  <c r="N7" i="23" s="1"/>
  <c r="AE8" i="23" l="1"/>
  <c r="AQ14" i="23"/>
  <c r="AP34" i="23"/>
  <c r="AD14" i="23"/>
  <c r="Q8" i="23"/>
  <c r="P8" i="23"/>
  <c r="G7" i="23"/>
  <c r="AR38" i="23"/>
  <c r="AD38" i="23"/>
  <c r="AP38" i="23" s="1"/>
  <c r="AF7" i="23"/>
  <c r="AR7" i="23" s="1"/>
  <c r="AR8" i="23"/>
  <c r="AV8" i="23"/>
  <c r="AJ7" i="23"/>
  <c r="AS8" i="23"/>
  <c r="P7" i="23" l="1"/>
  <c r="Q7" i="23"/>
  <c r="AS7" i="23"/>
  <c r="AD8" i="23"/>
  <c r="AP14" i="23"/>
  <c r="AE7" i="23"/>
  <c r="AQ7" i="23" s="1"/>
  <c r="AQ8" i="23"/>
  <c r="AD7" i="23" l="1"/>
  <c r="AP7" i="23" s="1"/>
  <c r="AP8" i="23"/>
  <c r="BN14" i="10" l="1"/>
  <c r="BN16" i="10"/>
  <c r="BN21" i="10"/>
  <c r="BN24" i="10"/>
  <c r="BN27" i="10"/>
  <c r="BN30" i="10"/>
  <c r="BN31" i="10"/>
  <c r="BN33" i="10"/>
  <c r="BN35" i="10"/>
  <c r="BN36" i="10"/>
  <c r="BN37" i="10"/>
  <c r="BN38" i="10"/>
  <c r="BN41" i="10"/>
  <c r="C35" i="19"/>
  <c r="BN47" i="10"/>
  <c r="AM13" i="22"/>
  <c r="AM14" i="22" s="1"/>
  <c r="BN42" i="10" l="1"/>
  <c r="AM23" i="22"/>
  <c r="AM19" i="22"/>
  <c r="AM20" i="22" s="1"/>
  <c r="AJ20" i="22"/>
  <c r="AI20" i="22" s="1"/>
  <c r="AM18" i="22"/>
  <c r="BN48" i="10" l="1"/>
  <c r="AG51" i="10"/>
  <c r="AO5" i="22" l="1"/>
  <c r="AQ6" i="22"/>
  <c r="AJ50" i="10"/>
  <c r="AJ44" i="10"/>
  <c r="BN43" i="10" l="1"/>
  <c r="BP43" i="10"/>
  <c r="AQ25" i="22" l="1"/>
  <c r="BN32" i="10" l="1"/>
  <c r="BN15" i="10"/>
  <c r="AE7" i="22" l="1"/>
  <c r="AJ28" i="22" l="1"/>
  <c r="AJ32" i="22" s="1"/>
  <c r="AK32" i="22" s="1"/>
  <c r="BN34" i="10"/>
  <c r="AQ26" i="22"/>
  <c r="AG52" i="10"/>
  <c r="AG53" i="10" l="1"/>
  <c r="AG57" i="10"/>
  <c r="AH57" i="10" s="1"/>
  <c r="AH58" i="10" s="1"/>
  <c r="AA35" i="22" l="1"/>
  <c r="X35" i="22"/>
  <c r="V35" i="22"/>
  <c r="U35" i="22" s="1"/>
  <c r="O35" i="22"/>
  <c r="J35" i="22"/>
  <c r="H35" i="22"/>
  <c r="G35" i="22" s="1"/>
  <c r="AA34" i="22"/>
  <c r="AA33" i="22" s="1"/>
  <c r="X34" i="22"/>
  <c r="V34" i="22"/>
  <c r="O34" i="22"/>
  <c r="J34" i="22"/>
  <c r="H34" i="22"/>
  <c r="N34" i="22" s="1"/>
  <c r="AC33" i="22"/>
  <c r="AB33" i="22"/>
  <c r="X33" i="22"/>
  <c r="O33" i="22"/>
  <c r="J33" i="22"/>
  <c r="C33" i="22"/>
  <c r="AE24" i="22"/>
  <c r="AE22" i="22"/>
  <c r="AD19" i="22"/>
  <c r="AF16" i="22"/>
  <c r="AG16" i="22" s="1"/>
  <c r="AE16" i="22"/>
  <c r="AD16" i="22"/>
  <c r="AF15" i="22"/>
  <c r="AD14" i="22"/>
  <c r="AE9" i="22"/>
  <c r="AD8" i="22"/>
  <c r="AD6" i="22"/>
  <c r="AE3" i="22"/>
  <c r="AD2" i="22"/>
  <c r="C40" i="21"/>
  <c r="C39" i="21"/>
  <c r="C37" i="21"/>
  <c r="C36" i="21"/>
  <c r="C32" i="21"/>
  <c r="C27" i="21"/>
  <c r="C26" i="21"/>
  <c r="C24" i="21"/>
  <c r="C23" i="21"/>
  <c r="C19" i="21"/>
  <c r="C22" i="21" l="1"/>
  <c r="AK25" i="22"/>
  <c r="AK27" i="22" s="1"/>
  <c r="AF17" i="22"/>
  <c r="AF18" i="22" s="1"/>
  <c r="H33" i="22"/>
  <c r="N33" i="22" s="1"/>
  <c r="M33" i="22" s="1"/>
  <c r="V33" i="22"/>
  <c r="AE4" i="22"/>
  <c r="U34" i="22"/>
  <c r="U33" i="22" s="1"/>
  <c r="G34" i="22"/>
  <c r="M34" i="22"/>
  <c r="AG15" i="22"/>
  <c r="N35" i="22"/>
  <c r="M35" i="22" s="1"/>
  <c r="C35" i="21"/>
  <c r="C31" i="21" s="1"/>
  <c r="C18" i="21"/>
  <c r="C25" i="21"/>
  <c r="C38" i="21"/>
  <c r="AQ3" i="22" l="1"/>
  <c r="AM1" i="22"/>
  <c r="G33" i="22"/>
  <c r="P34" i="22"/>
  <c r="Q34" i="22"/>
  <c r="AP3" i="22" l="1"/>
  <c r="AS19" i="22"/>
  <c r="AS18" i="22" s="1"/>
  <c r="AE18" i="22"/>
  <c r="AF19" i="22" l="1"/>
  <c r="AE2" i="22"/>
  <c r="AE6" i="22"/>
  <c r="AD18" i="22"/>
  <c r="Q23" i="20" l="1"/>
  <c r="P23" i="20"/>
  <c r="O23" i="20"/>
  <c r="N23" i="20"/>
  <c r="M23" i="20"/>
  <c r="L23" i="20"/>
  <c r="K23" i="20"/>
  <c r="J23" i="20"/>
  <c r="I23" i="20"/>
  <c r="H23" i="20"/>
  <c r="G23" i="20"/>
  <c r="F23" i="20"/>
  <c r="Q22" i="20"/>
  <c r="P22" i="20"/>
  <c r="O22" i="20"/>
  <c r="N22" i="20"/>
  <c r="M22" i="20"/>
  <c r="L22" i="20"/>
  <c r="K22" i="20"/>
  <c r="J22" i="20"/>
  <c r="I22" i="20"/>
  <c r="H22" i="20"/>
  <c r="G22" i="20"/>
  <c r="F22" i="20"/>
  <c r="Q21" i="20"/>
  <c r="P21" i="20"/>
  <c r="O21" i="20"/>
  <c r="N21" i="20"/>
  <c r="M21" i="20"/>
  <c r="L21" i="20"/>
  <c r="K21" i="20"/>
  <c r="J21" i="20"/>
  <c r="I21" i="20"/>
  <c r="H21" i="20"/>
  <c r="G21" i="20"/>
  <c r="F21" i="20"/>
  <c r="Q20" i="20"/>
  <c r="P20" i="20"/>
  <c r="O20" i="20"/>
  <c r="N20" i="20"/>
  <c r="M20" i="20"/>
  <c r="L20" i="20"/>
  <c r="K20" i="20"/>
  <c r="J20" i="20"/>
  <c r="I20" i="20"/>
  <c r="H20" i="20"/>
  <c r="G20" i="20"/>
  <c r="F20" i="20"/>
  <c r="Q19" i="20"/>
  <c r="P19" i="20"/>
  <c r="O19" i="20"/>
  <c r="N19" i="20"/>
  <c r="M19" i="20"/>
  <c r="L19" i="20"/>
  <c r="K19" i="20"/>
  <c r="J19" i="20"/>
  <c r="I19" i="20"/>
  <c r="H19" i="20"/>
  <c r="G19" i="20"/>
  <c r="F19" i="20"/>
  <c r="Q18" i="20"/>
  <c r="P18" i="20"/>
  <c r="O18" i="20"/>
  <c r="N18" i="20"/>
  <c r="M18" i="20"/>
  <c r="L18" i="20"/>
  <c r="K18" i="20"/>
  <c r="J18" i="20"/>
  <c r="I18" i="20"/>
  <c r="H18" i="20"/>
  <c r="G18" i="20"/>
  <c r="F18" i="20"/>
  <c r="Q17" i="20"/>
  <c r="P17" i="20"/>
  <c r="O17" i="20"/>
  <c r="N17" i="20"/>
  <c r="M17" i="20"/>
  <c r="L17" i="20"/>
  <c r="K17" i="20"/>
  <c r="J17" i="20"/>
  <c r="I17" i="20"/>
  <c r="H17" i="20"/>
  <c r="G17" i="20"/>
  <c r="F17" i="20"/>
  <c r="Q16" i="20"/>
  <c r="P16" i="20"/>
  <c r="O16" i="20"/>
  <c r="N16" i="20"/>
  <c r="M16" i="20"/>
  <c r="L16" i="20"/>
  <c r="K16" i="20"/>
  <c r="J16" i="20"/>
  <c r="I16" i="20"/>
  <c r="H16" i="20"/>
  <c r="G16" i="20"/>
  <c r="F16" i="20"/>
  <c r="Q15" i="20"/>
  <c r="P15" i="20"/>
  <c r="O15" i="20"/>
  <c r="N15" i="20"/>
  <c r="M15" i="20"/>
  <c r="L15" i="20"/>
  <c r="K15" i="20"/>
  <c r="J15" i="20"/>
  <c r="I15" i="20"/>
  <c r="H15" i="20"/>
  <c r="G15" i="20"/>
  <c r="F15" i="20"/>
  <c r="Q14" i="20"/>
  <c r="P14" i="20"/>
  <c r="O14" i="20"/>
  <c r="N14" i="20"/>
  <c r="M14" i="20"/>
  <c r="L14" i="20"/>
  <c r="K14" i="20"/>
  <c r="J14" i="20"/>
  <c r="I14" i="20"/>
  <c r="H14" i="20"/>
  <c r="G14" i="20"/>
  <c r="F14" i="20"/>
  <c r="Q13" i="20"/>
  <c r="P13" i="20"/>
  <c r="O13" i="20"/>
  <c r="N13" i="20"/>
  <c r="M13" i="20"/>
  <c r="L13" i="20"/>
  <c r="K13" i="20"/>
  <c r="J13" i="20"/>
  <c r="I13" i="20"/>
  <c r="H13" i="20"/>
  <c r="G13" i="20"/>
  <c r="F13" i="20"/>
  <c r="Q12" i="20"/>
  <c r="P12" i="20"/>
  <c r="O12" i="20"/>
  <c r="N12" i="20"/>
  <c r="M12" i="20"/>
  <c r="L12" i="20"/>
  <c r="K12" i="20"/>
  <c r="J12" i="20"/>
  <c r="I12" i="20"/>
  <c r="H12" i="20"/>
  <c r="G12" i="20"/>
  <c r="F12" i="20"/>
  <c r="Q11" i="20"/>
  <c r="P11" i="20"/>
  <c r="O11" i="20"/>
  <c r="N11" i="20"/>
  <c r="M11" i="20"/>
  <c r="L11" i="20"/>
  <c r="K11" i="20"/>
  <c r="J11" i="20"/>
  <c r="I11" i="20"/>
  <c r="H11" i="20"/>
  <c r="G11" i="20"/>
  <c r="F11" i="20"/>
  <c r="Q10" i="20"/>
  <c r="P10" i="20"/>
  <c r="O10" i="20"/>
  <c r="N10" i="20"/>
  <c r="M10" i="20"/>
  <c r="L10" i="20"/>
  <c r="K10" i="20"/>
  <c r="J10" i="20"/>
  <c r="I10" i="20"/>
  <c r="H10" i="20"/>
  <c r="G10" i="20"/>
  <c r="F10" i="20"/>
  <c r="Q9" i="20"/>
  <c r="P9" i="20"/>
  <c r="O9" i="20"/>
  <c r="N9" i="20"/>
  <c r="M9" i="20"/>
  <c r="L9" i="20"/>
  <c r="K9" i="20"/>
  <c r="J9" i="20"/>
  <c r="I9" i="20"/>
  <c r="H9" i="20"/>
  <c r="G9" i="20"/>
  <c r="F9" i="20"/>
  <c r="Q8" i="20"/>
  <c r="P8" i="20"/>
  <c r="O8" i="20"/>
  <c r="N8" i="20"/>
  <c r="M8" i="20"/>
  <c r="L8" i="20"/>
  <c r="K8" i="20"/>
  <c r="J8" i="20"/>
  <c r="I8" i="20"/>
  <c r="H8" i="20"/>
  <c r="G8" i="20"/>
  <c r="F8" i="20"/>
  <c r="Q7" i="20"/>
  <c r="P7" i="20"/>
  <c r="O7" i="20"/>
  <c r="N7" i="20"/>
  <c r="M7" i="20"/>
  <c r="L7" i="20"/>
  <c r="K7" i="20"/>
  <c r="J7" i="20"/>
  <c r="I7" i="20"/>
  <c r="H7" i="20"/>
  <c r="G7" i="20"/>
  <c r="F7" i="20"/>
  <c r="R14" i="2"/>
  <c r="Q24" i="20" l="1"/>
  <c r="M24" i="20"/>
  <c r="F24" i="20"/>
  <c r="I24" i="20"/>
  <c r="P24" i="20"/>
  <c r="G24" i="20"/>
  <c r="K24" i="20"/>
  <c r="O24" i="20"/>
  <c r="E7" i="20"/>
  <c r="D7" i="20" s="1"/>
  <c r="L24" i="20"/>
  <c r="E9" i="20"/>
  <c r="D9" i="20" s="1"/>
  <c r="E11" i="20"/>
  <c r="D11" i="20" s="1"/>
  <c r="E13" i="20"/>
  <c r="D13" i="20" s="1"/>
  <c r="E15" i="20"/>
  <c r="D15" i="20" s="1"/>
  <c r="E17" i="20"/>
  <c r="D17" i="20" s="1"/>
  <c r="E19" i="20"/>
  <c r="D19" i="20" s="1"/>
  <c r="E21" i="20"/>
  <c r="D21" i="20" s="1"/>
  <c r="E23" i="20"/>
  <c r="D23" i="20" s="1"/>
  <c r="E8" i="20"/>
  <c r="D8" i="20" s="1"/>
  <c r="J24" i="20"/>
  <c r="N24" i="20"/>
  <c r="E10" i="20"/>
  <c r="D10" i="20" s="1"/>
  <c r="E12" i="20"/>
  <c r="D12" i="20" s="1"/>
  <c r="E14" i="20"/>
  <c r="D14" i="20" s="1"/>
  <c r="E16" i="20"/>
  <c r="D16" i="20" s="1"/>
  <c r="E18" i="20"/>
  <c r="D18" i="20" s="1"/>
  <c r="E20" i="20"/>
  <c r="D20" i="20" s="1"/>
  <c r="E22" i="20"/>
  <c r="D22" i="20" s="1"/>
  <c r="H24" i="20"/>
  <c r="AD27" i="18"/>
  <c r="AC27" i="18"/>
  <c r="Z27" i="18"/>
  <c r="Y27" i="18"/>
  <c r="X27" i="18"/>
  <c r="W27" i="18"/>
  <c r="T27" i="18"/>
  <c r="Q27" i="18"/>
  <c r="N27" i="18"/>
  <c r="M27" i="18"/>
  <c r="L27" i="18"/>
  <c r="I27" i="18"/>
  <c r="AG26" i="18"/>
  <c r="AF26" i="18"/>
  <c r="AE26" i="18"/>
  <c r="AB26" i="18"/>
  <c r="AA26" i="18"/>
  <c r="V26" i="18"/>
  <c r="U26" i="18"/>
  <c r="S26" i="18"/>
  <c r="R26" i="18"/>
  <c r="P26" i="18"/>
  <c r="K26" i="18"/>
  <c r="H26" i="18"/>
  <c r="D26" i="18"/>
  <c r="V25" i="18"/>
  <c r="U25" i="18"/>
  <c r="S25" i="18"/>
  <c r="R25" i="18"/>
  <c r="P25" i="18"/>
  <c r="F25" i="18" s="1"/>
  <c r="G25" i="18" s="1"/>
  <c r="K25" i="18"/>
  <c r="H25" i="18"/>
  <c r="D25" i="18"/>
  <c r="AG24" i="18"/>
  <c r="AF24" i="18"/>
  <c r="AE24" i="18"/>
  <c r="V24" i="18"/>
  <c r="U24" i="18"/>
  <c r="S24" i="18"/>
  <c r="R24" i="18"/>
  <c r="E24" i="18" s="1"/>
  <c r="P24" i="18"/>
  <c r="K24" i="18"/>
  <c r="H24" i="18"/>
  <c r="D24" i="18"/>
  <c r="AG23" i="18"/>
  <c r="AF23" i="18"/>
  <c r="AE23" i="18"/>
  <c r="D23" i="18" s="1"/>
  <c r="V23" i="18"/>
  <c r="U23" i="18"/>
  <c r="S23" i="18"/>
  <c r="R23" i="18"/>
  <c r="P23" i="18"/>
  <c r="K23" i="18"/>
  <c r="H23" i="18"/>
  <c r="AG22" i="18"/>
  <c r="AF22" i="18"/>
  <c r="AE22" i="18"/>
  <c r="V22" i="18"/>
  <c r="U22" i="18"/>
  <c r="S22" i="18"/>
  <c r="R22" i="18"/>
  <c r="E22" i="18" s="1"/>
  <c r="P22" i="18"/>
  <c r="K22" i="18"/>
  <c r="H22" i="18"/>
  <c r="D22" i="18"/>
  <c r="AG21" i="18"/>
  <c r="AF21" i="18"/>
  <c r="AE21" i="18"/>
  <c r="D21" i="18" s="1"/>
  <c r="V21" i="18"/>
  <c r="U21" i="18"/>
  <c r="S21" i="18"/>
  <c r="R21" i="18"/>
  <c r="P21" i="18"/>
  <c r="F21" i="18" s="1"/>
  <c r="G21" i="18" s="1"/>
  <c r="K21" i="18"/>
  <c r="H21" i="18"/>
  <c r="AG20" i="18"/>
  <c r="AF20" i="18"/>
  <c r="AE20" i="18"/>
  <c r="D20" i="18" s="1"/>
  <c r="V20" i="18"/>
  <c r="U20" i="18"/>
  <c r="S20" i="18"/>
  <c r="R20" i="18"/>
  <c r="P20" i="18"/>
  <c r="K20" i="18"/>
  <c r="H20" i="18"/>
  <c r="AG19" i="18"/>
  <c r="AF19" i="18"/>
  <c r="AE19" i="18"/>
  <c r="V19" i="18"/>
  <c r="U19" i="18"/>
  <c r="S19" i="18"/>
  <c r="R19" i="18"/>
  <c r="E19" i="18" s="1"/>
  <c r="P19" i="18"/>
  <c r="K19" i="18"/>
  <c r="H19" i="18"/>
  <c r="D19" i="18"/>
  <c r="AG18" i="18"/>
  <c r="AF18" i="18"/>
  <c r="AE18" i="18"/>
  <c r="D18" i="18" s="1"/>
  <c r="AB18" i="18"/>
  <c r="AA18" i="18"/>
  <c r="V18" i="18"/>
  <c r="U18" i="18"/>
  <c r="S18" i="18"/>
  <c r="R18" i="18"/>
  <c r="P18" i="18"/>
  <c r="K18" i="18"/>
  <c r="H18" i="18"/>
  <c r="AG17" i="18"/>
  <c r="AF17" i="18"/>
  <c r="AE17" i="18"/>
  <c r="D17" i="18" s="1"/>
  <c r="V17" i="18"/>
  <c r="U17" i="18"/>
  <c r="S17" i="18"/>
  <c r="R17" i="18"/>
  <c r="E17" i="18" s="1"/>
  <c r="P17" i="18"/>
  <c r="K17" i="18"/>
  <c r="H17" i="18"/>
  <c r="AG16" i="18"/>
  <c r="AF16" i="18"/>
  <c r="AE16" i="18"/>
  <c r="V16" i="18"/>
  <c r="U16" i="18"/>
  <c r="S16" i="18"/>
  <c r="R16" i="18"/>
  <c r="P16" i="18"/>
  <c r="K16" i="18"/>
  <c r="H16" i="18"/>
  <c r="D16" i="18"/>
  <c r="AG15" i="18"/>
  <c r="AF15" i="18"/>
  <c r="AE15" i="18"/>
  <c r="D15" i="18" s="1"/>
  <c r="AB15" i="18"/>
  <c r="AA15" i="18"/>
  <c r="V15" i="18"/>
  <c r="U15" i="18"/>
  <c r="S15" i="18"/>
  <c r="R15" i="18"/>
  <c r="P15" i="18"/>
  <c r="K15" i="18"/>
  <c r="H15" i="18"/>
  <c r="AG14" i="18"/>
  <c r="AF14" i="18"/>
  <c r="AE14" i="18"/>
  <c r="V14" i="18"/>
  <c r="U14" i="18"/>
  <c r="S14" i="18"/>
  <c r="R14" i="18"/>
  <c r="P14" i="18"/>
  <c r="K14" i="18"/>
  <c r="H14" i="18"/>
  <c r="D14" i="18"/>
  <c r="AG13" i="18"/>
  <c r="AF13" i="18"/>
  <c r="AE13" i="18"/>
  <c r="D13" i="18" s="1"/>
  <c r="AB13" i="18"/>
  <c r="AA13" i="18"/>
  <c r="V13" i="18"/>
  <c r="U13" i="18"/>
  <c r="S13" i="18"/>
  <c r="R13" i="18"/>
  <c r="P13" i="18"/>
  <c r="K13" i="18"/>
  <c r="H13" i="18"/>
  <c r="AG12" i="18"/>
  <c r="AF12" i="18"/>
  <c r="AE12" i="18"/>
  <c r="V12" i="18"/>
  <c r="U12" i="18"/>
  <c r="S12" i="18"/>
  <c r="R12" i="18"/>
  <c r="E12" i="18" s="1"/>
  <c r="P12" i="18"/>
  <c r="K12" i="18"/>
  <c r="H12" i="18"/>
  <c r="D12" i="18"/>
  <c r="AG11" i="18"/>
  <c r="AF11" i="18"/>
  <c r="AE11" i="18"/>
  <c r="D11" i="18" s="1"/>
  <c r="V11" i="18"/>
  <c r="U11" i="18"/>
  <c r="S11" i="18"/>
  <c r="R11" i="18"/>
  <c r="P11" i="18"/>
  <c r="O11" i="18"/>
  <c r="K11" i="18"/>
  <c r="J11" i="18"/>
  <c r="H11" i="18"/>
  <c r="AG10" i="18"/>
  <c r="AF10" i="18"/>
  <c r="AE10" i="18"/>
  <c r="D10" i="18" s="1"/>
  <c r="AB10" i="18"/>
  <c r="AA10" i="18"/>
  <c r="V10" i="18"/>
  <c r="U10" i="18"/>
  <c r="S10" i="18"/>
  <c r="R10" i="18"/>
  <c r="P10" i="18"/>
  <c r="O10" i="18"/>
  <c r="K10" i="18"/>
  <c r="J10" i="18"/>
  <c r="H10" i="18"/>
  <c r="O27" i="18" l="1"/>
  <c r="J27" i="18"/>
  <c r="F22" i="18"/>
  <c r="G22" i="18" s="1"/>
  <c r="AF27" i="18"/>
  <c r="F12" i="18"/>
  <c r="G12" i="18" s="1"/>
  <c r="E16" i="18"/>
  <c r="E23" i="18"/>
  <c r="C34" i="19"/>
  <c r="C33" i="19" s="1"/>
  <c r="E14" i="18"/>
  <c r="F18" i="18"/>
  <c r="G18" i="18" s="1"/>
  <c r="E13" i="18"/>
  <c r="E18" i="18"/>
  <c r="E20" i="18"/>
  <c r="F26" i="18"/>
  <c r="G26" i="18" s="1"/>
  <c r="S27" i="18"/>
  <c r="E15" i="18"/>
  <c r="F20" i="18"/>
  <c r="G20" i="18" s="1"/>
  <c r="AA27" i="18"/>
  <c r="F16" i="18"/>
  <c r="G16" i="18" s="1"/>
  <c r="F14" i="18"/>
  <c r="G14" i="18" s="1"/>
  <c r="E21" i="18"/>
  <c r="F24" i="18"/>
  <c r="G24" i="18" s="1"/>
  <c r="C24" i="18"/>
  <c r="F15" i="18"/>
  <c r="G15" i="18" s="1"/>
  <c r="F23" i="18"/>
  <c r="G23" i="18" s="1"/>
  <c r="U27" i="18"/>
  <c r="F13" i="18"/>
  <c r="G13" i="18" s="1"/>
  <c r="V27" i="18"/>
  <c r="F19" i="18"/>
  <c r="G19" i="18" s="1"/>
  <c r="H27" i="18"/>
  <c r="F17" i="18"/>
  <c r="G17" i="18" s="1"/>
  <c r="K27" i="18"/>
  <c r="AB27" i="18"/>
  <c r="F11" i="18"/>
  <c r="G11" i="18" s="1"/>
  <c r="AE27" i="18"/>
  <c r="R27" i="18"/>
  <c r="C20" i="18"/>
  <c r="P27" i="18"/>
  <c r="E25" i="18"/>
  <c r="C25" i="18" s="1"/>
  <c r="E26" i="18"/>
  <c r="AG27" i="18"/>
  <c r="D24" i="20"/>
  <c r="E24" i="20"/>
  <c r="C12" i="18"/>
  <c r="C22" i="18"/>
  <c r="C18" i="18"/>
  <c r="C21" i="18"/>
  <c r="E10" i="18"/>
  <c r="E11" i="18"/>
  <c r="F10" i="18"/>
  <c r="D27" i="18"/>
  <c r="C16" i="18" l="1"/>
  <c r="C19" i="18"/>
  <c r="C14" i="18"/>
  <c r="C11" i="18"/>
  <c r="C26" i="18"/>
  <c r="C23" i="18"/>
  <c r="E27" i="18"/>
  <c r="C15" i="18"/>
  <c r="C13" i="18"/>
  <c r="C17" i="18"/>
  <c r="G10" i="18"/>
  <c r="G27" i="18" s="1"/>
  <c r="F27" i="18"/>
  <c r="C10" i="18"/>
  <c r="C27" i="18" l="1"/>
  <c r="AC38" i="16"/>
  <c r="AC38" i="17"/>
  <c r="Z38" i="17" s="1"/>
  <c r="AC38" i="14"/>
  <c r="Z38" i="14" s="1"/>
  <c r="AC38" i="15"/>
  <c r="Z38" i="15" s="1"/>
  <c r="Z38" i="16"/>
  <c r="AE8" i="2"/>
  <c r="AE8" i="17"/>
  <c r="AE8" i="14"/>
  <c r="AE8" i="15"/>
  <c r="E22" i="14" l="1"/>
  <c r="O21" i="17"/>
  <c r="N21" i="17"/>
  <c r="M21" i="17"/>
  <c r="L21" i="17"/>
  <c r="K21" i="17"/>
  <c r="J21" i="17"/>
  <c r="I21" i="17"/>
  <c r="H21" i="17"/>
  <c r="G21" i="17"/>
  <c r="F21" i="17"/>
  <c r="E21" i="17"/>
  <c r="O20" i="17"/>
  <c r="N20" i="17"/>
  <c r="M20" i="17"/>
  <c r="L20" i="17"/>
  <c r="K20" i="17"/>
  <c r="J20" i="17"/>
  <c r="I20" i="17"/>
  <c r="H20" i="17"/>
  <c r="G20" i="17"/>
  <c r="F20" i="17"/>
  <c r="E20" i="17"/>
  <c r="O19" i="17"/>
  <c r="N19" i="17"/>
  <c r="M19" i="17"/>
  <c r="L19" i="17"/>
  <c r="K19" i="17"/>
  <c r="J19" i="17"/>
  <c r="I19" i="17"/>
  <c r="H19" i="17"/>
  <c r="G19" i="17"/>
  <c r="F19" i="17"/>
  <c r="E19" i="17"/>
  <c r="O18" i="17"/>
  <c r="N18" i="17"/>
  <c r="M18" i="17"/>
  <c r="L18" i="17"/>
  <c r="K18" i="17"/>
  <c r="J18" i="17"/>
  <c r="I18" i="17"/>
  <c r="H18" i="17"/>
  <c r="G18" i="17"/>
  <c r="F18" i="17"/>
  <c r="E18" i="17"/>
  <c r="O17" i="17"/>
  <c r="N17" i="17"/>
  <c r="M17" i="17"/>
  <c r="L17" i="17"/>
  <c r="K17" i="17"/>
  <c r="J17" i="17"/>
  <c r="I17" i="17"/>
  <c r="H17" i="17"/>
  <c r="G17" i="17"/>
  <c r="F17" i="17"/>
  <c r="E17" i="17"/>
  <c r="O16" i="17"/>
  <c r="N16" i="17"/>
  <c r="M16" i="17"/>
  <c r="L16" i="17"/>
  <c r="K16" i="17"/>
  <c r="J16" i="17"/>
  <c r="I16" i="17"/>
  <c r="H16" i="17"/>
  <c r="G16" i="17"/>
  <c r="F16" i="17"/>
  <c r="E16" i="17"/>
  <c r="O15" i="17"/>
  <c r="N15" i="17"/>
  <c r="M15" i="17"/>
  <c r="L15" i="17"/>
  <c r="K15" i="17"/>
  <c r="J15" i="17"/>
  <c r="I15" i="17"/>
  <c r="H15" i="17"/>
  <c r="G15" i="17"/>
  <c r="F15" i="17"/>
  <c r="E15" i="17"/>
  <c r="O14" i="17"/>
  <c r="N14" i="17"/>
  <c r="M14" i="17"/>
  <c r="L14" i="17"/>
  <c r="K14" i="17"/>
  <c r="J14" i="17"/>
  <c r="I14" i="17"/>
  <c r="H14" i="17"/>
  <c r="G14" i="17"/>
  <c r="F14" i="17"/>
  <c r="E14" i="17"/>
  <c r="O13" i="17"/>
  <c r="N13" i="17"/>
  <c r="M13" i="17"/>
  <c r="L13" i="17"/>
  <c r="K13" i="17"/>
  <c r="J13" i="17"/>
  <c r="I13" i="17"/>
  <c r="H13" i="17"/>
  <c r="G13" i="17"/>
  <c r="F13" i="17"/>
  <c r="E13" i="17"/>
  <c r="O12" i="17"/>
  <c r="N12" i="17"/>
  <c r="M12" i="17"/>
  <c r="L12" i="17"/>
  <c r="K12" i="17"/>
  <c r="J12" i="17"/>
  <c r="I12" i="17"/>
  <c r="H12" i="17"/>
  <c r="G12" i="17"/>
  <c r="F12" i="17"/>
  <c r="E12" i="17"/>
  <c r="O11" i="17"/>
  <c r="N11" i="17"/>
  <c r="M11" i="17"/>
  <c r="L11" i="17"/>
  <c r="K11" i="17"/>
  <c r="J11" i="17"/>
  <c r="I11" i="17"/>
  <c r="H11" i="17"/>
  <c r="G11" i="17"/>
  <c r="F11" i="17"/>
  <c r="E11" i="17"/>
  <c r="O10" i="17"/>
  <c r="N10" i="17"/>
  <c r="M10" i="17"/>
  <c r="L10" i="17"/>
  <c r="K10" i="17"/>
  <c r="J10" i="17"/>
  <c r="I10" i="17"/>
  <c r="H10" i="17"/>
  <c r="G10" i="17"/>
  <c r="F10" i="17"/>
  <c r="E10" i="17"/>
  <c r="O9" i="17"/>
  <c r="N9" i="17"/>
  <c r="M9" i="17"/>
  <c r="L9" i="17"/>
  <c r="K9" i="17"/>
  <c r="J9" i="17"/>
  <c r="I9" i="17"/>
  <c r="H9" i="17"/>
  <c r="G9" i="17"/>
  <c r="F9" i="17"/>
  <c r="E9" i="17"/>
  <c r="O8" i="17"/>
  <c r="N8" i="17"/>
  <c r="M8" i="17"/>
  <c r="L8" i="17"/>
  <c r="K8" i="17"/>
  <c r="J8" i="17"/>
  <c r="I8" i="17"/>
  <c r="H8" i="17"/>
  <c r="G8" i="17"/>
  <c r="F8" i="17"/>
  <c r="E8" i="17"/>
  <c r="O7" i="17"/>
  <c r="N7" i="17"/>
  <c r="M7" i="17"/>
  <c r="L7" i="17"/>
  <c r="K7" i="17"/>
  <c r="J7" i="17"/>
  <c r="I7" i="17"/>
  <c r="H7" i="17"/>
  <c r="G7" i="17"/>
  <c r="F7" i="17"/>
  <c r="E7" i="17"/>
  <c r="O6" i="17"/>
  <c r="N6" i="17"/>
  <c r="M6" i="17"/>
  <c r="L6" i="17"/>
  <c r="K6" i="17"/>
  <c r="J6" i="17"/>
  <c r="I6" i="17"/>
  <c r="H6" i="17"/>
  <c r="G6" i="17"/>
  <c r="F6" i="17"/>
  <c r="E6" i="17"/>
  <c r="O5" i="17"/>
  <c r="N5" i="17"/>
  <c r="M5" i="17"/>
  <c r="L5" i="17"/>
  <c r="K5" i="17"/>
  <c r="J5" i="17"/>
  <c r="I5" i="17"/>
  <c r="H5" i="17"/>
  <c r="G5" i="17"/>
  <c r="F5" i="17"/>
  <c r="E5" i="17"/>
  <c r="AB45" i="2"/>
  <c r="AD26" i="16"/>
  <c r="AC26" i="16"/>
  <c r="Z26" i="16"/>
  <c r="Y26" i="16"/>
  <c r="X26" i="16"/>
  <c r="W26" i="16"/>
  <c r="T26" i="16"/>
  <c r="Q26" i="16"/>
  <c r="N26" i="16"/>
  <c r="M26" i="16"/>
  <c r="L26" i="16"/>
  <c r="I26" i="16"/>
  <c r="AG25" i="16"/>
  <c r="AF25" i="16"/>
  <c r="AE25" i="16"/>
  <c r="D25" i="16" s="1"/>
  <c r="AB25" i="16"/>
  <c r="AA25" i="16"/>
  <c r="V25" i="16"/>
  <c r="U25" i="16"/>
  <c r="S25" i="16"/>
  <c r="R25" i="16"/>
  <c r="P25" i="16"/>
  <c r="K25" i="16"/>
  <c r="H25" i="16"/>
  <c r="V24" i="16"/>
  <c r="U24" i="16"/>
  <c r="S24" i="16"/>
  <c r="R24" i="16"/>
  <c r="P24" i="16"/>
  <c r="K24" i="16"/>
  <c r="H24" i="16"/>
  <c r="D24" i="16"/>
  <c r="AG23" i="16"/>
  <c r="AF23" i="16"/>
  <c r="AE23" i="16"/>
  <c r="V23" i="16"/>
  <c r="U23" i="16"/>
  <c r="S23" i="16"/>
  <c r="R23" i="16"/>
  <c r="P23" i="16"/>
  <c r="K23" i="16"/>
  <c r="H23" i="16"/>
  <c r="D23" i="16"/>
  <c r="AG22" i="16"/>
  <c r="AF22" i="16"/>
  <c r="AE22" i="16"/>
  <c r="D22" i="16" s="1"/>
  <c r="V22" i="16"/>
  <c r="U22" i="16"/>
  <c r="S22" i="16"/>
  <c r="R22" i="16"/>
  <c r="P22" i="16"/>
  <c r="K22" i="16"/>
  <c r="H22" i="16"/>
  <c r="AG21" i="16"/>
  <c r="AF21" i="16"/>
  <c r="AE21" i="16"/>
  <c r="D21" i="16" s="1"/>
  <c r="V21" i="16"/>
  <c r="U21" i="16"/>
  <c r="S21" i="16"/>
  <c r="R21" i="16"/>
  <c r="P21" i="16"/>
  <c r="K21" i="16"/>
  <c r="H21" i="16"/>
  <c r="AG20" i="16"/>
  <c r="AF20" i="16"/>
  <c r="AE20" i="16"/>
  <c r="D20" i="16" s="1"/>
  <c r="V20" i="16"/>
  <c r="U20" i="16"/>
  <c r="S20" i="16"/>
  <c r="R20" i="16"/>
  <c r="P20" i="16"/>
  <c r="K20" i="16"/>
  <c r="H20" i="16"/>
  <c r="AG19" i="16"/>
  <c r="AF19" i="16"/>
  <c r="AE19" i="16"/>
  <c r="V19" i="16"/>
  <c r="U19" i="16"/>
  <c r="S19" i="16"/>
  <c r="R19" i="16"/>
  <c r="P19" i="16"/>
  <c r="K19" i="16"/>
  <c r="H19" i="16"/>
  <c r="D19" i="16"/>
  <c r="AG18" i="16"/>
  <c r="AF18" i="16"/>
  <c r="AE18" i="16"/>
  <c r="D18" i="16" s="1"/>
  <c r="V18" i="16"/>
  <c r="U18" i="16"/>
  <c r="S18" i="16"/>
  <c r="R18" i="16"/>
  <c r="P18" i="16"/>
  <c r="K18" i="16"/>
  <c r="H18" i="16"/>
  <c r="AG17" i="16"/>
  <c r="AF17" i="16"/>
  <c r="AE17" i="16"/>
  <c r="AB17" i="16"/>
  <c r="AA17" i="16"/>
  <c r="V17" i="16"/>
  <c r="U17" i="16"/>
  <c r="S17" i="16"/>
  <c r="R17" i="16"/>
  <c r="P17" i="16"/>
  <c r="K17" i="16"/>
  <c r="H17" i="16"/>
  <c r="D17" i="16"/>
  <c r="AG16" i="16"/>
  <c r="AF16" i="16"/>
  <c r="AE16" i="16"/>
  <c r="D16" i="16" s="1"/>
  <c r="V16" i="16"/>
  <c r="U16" i="16"/>
  <c r="S16" i="16"/>
  <c r="R16" i="16"/>
  <c r="P16" i="16"/>
  <c r="K16" i="16"/>
  <c r="H16" i="16"/>
  <c r="AG15" i="16"/>
  <c r="AF15" i="16"/>
  <c r="AE15" i="16"/>
  <c r="D15" i="16" s="1"/>
  <c r="V15" i="16"/>
  <c r="U15" i="16"/>
  <c r="S15" i="16"/>
  <c r="R15" i="16"/>
  <c r="P15" i="16"/>
  <c r="K15" i="16"/>
  <c r="H15" i="16"/>
  <c r="AG14" i="16"/>
  <c r="AF14" i="16"/>
  <c r="AE14" i="16"/>
  <c r="D14" i="16" s="1"/>
  <c r="AB14" i="16"/>
  <c r="AA14" i="16"/>
  <c r="V14" i="16"/>
  <c r="U14" i="16"/>
  <c r="S14" i="16"/>
  <c r="R14" i="16"/>
  <c r="P14" i="16"/>
  <c r="K14" i="16"/>
  <c r="H14" i="16"/>
  <c r="AG13" i="16"/>
  <c r="AF13" i="16"/>
  <c r="AE13" i="16"/>
  <c r="D13" i="16" s="1"/>
  <c r="V13" i="16"/>
  <c r="U13" i="16"/>
  <c r="S13" i="16"/>
  <c r="R13" i="16"/>
  <c r="P13" i="16"/>
  <c r="K13" i="16"/>
  <c r="H13" i="16"/>
  <c r="AG12" i="16"/>
  <c r="AF12" i="16"/>
  <c r="AE12" i="16"/>
  <c r="AB12" i="16"/>
  <c r="AA12" i="16"/>
  <c r="V12" i="16"/>
  <c r="U12" i="16"/>
  <c r="S12" i="16"/>
  <c r="R12" i="16"/>
  <c r="P12" i="16"/>
  <c r="K12" i="16"/>
  <c r="H12" i="16"/>
  <c r="D12" i="16"/>
  <c r="AG11" i="16"/>
  <c r="AF11" i="16"/>
  <c r="AE11" i="16"/>
  <c r="D11" i="16" s="1"/>
  <c r="V11" i="16"/>
  <c r="U11" i="16"/>
  <c r="S11" i="16"/>
  <c r="R11" i="16"/>
  <c r="P11" i="16"/>
  <c r="K11" i="16"/>
  <c r="H11" i="16"/>
  <c r="AG10" i="16"/>
  <c r="AF10" i="16"/>
  <c r="AE10" i="16"/>
  <c r="D10" i="16" s="1"/>
  <c r="V10" i="16"/>
  <c r="U10" i="16"/>
  <c r="S10" i="16"/>
  <c r="R10" i="16"/>
  <c r="P10" i="16"/>
  <c r="O10" i="16"/>
  <c r="K10" i="16"/>
  <c r="J10" i="16"/>
  <c r="H10" i="16"/>
  <c r="AG9" i="16"/>
  <c r="AF9" i="16"/>
  <c r="AE9" i="16"/>
  <c r="AB9" i="16"/>
  <c r="AA9" i="16"/>
  <c r="V9" i="16"/>
  <c r="U9" i="16"/>
  <c r="S9" i="16"/>
  <c r="R9" i="16"/>
  <c r="P9" i="16"/>
  <c r="O9" i="16"/>
  <c r="K9" i="16"/>
  <c r="J9" i="16"/>
  <c r="H9" i="16"/>
  <c r="AM42" i="10"/>
  <c r="AL42" i="10"/>
  <c r="AK42" i="10"/>
  <c r="AM40" i="10"/>
  <c r="AL40" i="10"/>
  <c r="AL34" i="10"/>
  <c r="AK34" i="10"/>
  <c r="AL33" i="10"/>
  <c r="AK32" i="10"/>
  <c r="AJ27" i="10"/>
  <c r="AK39" i="10"/>
  <c r="AJ39" i="10"/>
  <c r="AL24" i="10"/>
  <c r="AJ21" i="10"/>
  <c r="AL14" i="10"/>
  <c r="AK14" i="10"/>
  <c r="AK13" i="10"/>
  <c r="AL12" i="10"/>
  <c r="AK12" i="10"/>
  <c r="AM11" i="10"/>
  <c r="AM9" i="10" s="1"/>
  <c r="AL39" i="10"/>
  <c r="F21" i="16" l="1"/>
  <c r="G21" i="16" s="1"/>
  <c r="F24" i="16"/>
  <c r="G24" i="16" s="1"/>
  <c r="J26" i="16"/>
  <c r="AA26" i="16"/>
  <c r="E11" i="16"/>
  <c r="F16" i="16"/>
  <c r="G16" i="16" s="1"/>
  <c r="F18" i="16"/>
  <c r="G18" i="16" s="1"/>
  <c r="E21" i="16"/>
  <c r="E9" i="21"/>
  <c r="BN40" i="10"/>
  <c r="AJ11" i="10"/>
  <c r="AJ8" i="10" s="1"/>
  <c r="E20" i="16"/>
  <c r="AE26" i="16"/>
  <c r="E18" i="16"/>
  <c r="E19" i="16"/>
  <c r="C19" i="16" s="1"/>
  <c r="E25" i="16"/>
  <c r="C25" i="16" s="1"/>
  <c r="F9" i="16"/>
  <c r="G9" i="16" s="1"/>
  <c r="F14" i="16"/>
  <c r="G14" i="16" s="1"/>
  <c r="E15" i="16"/>
  <c r="E16" i="16"/>
  <c r="F19" i="16"/>
  <c r="G19" i="16" s="1"/>
  <c r="E24" i="16"/>
  <c r="C24" i="16" s="1"/>
  <c r="E13" i="16"/>
  <c r="O26" i="16"/>
  <c r="F12" i="16"/>
  <c r="G12" i="16" s="1"/>
  <c r="AM8" i="10"/>
  <c r="K26" i="16"/>
  <c r="AB26" i="16"/>
  <c r="AF26" i="16"/>
  <c r="E10" i="16"/>
  <c r="AG26" i="16"/>
  <c r="P26" i="16"/>
  <c r="E12" i="16"/>
  <c r="C12" i="16" s="1"/>
  <c r="F25" i="16"/>
  <c r="G25" i="16" s="1"/>
  <c r="E14" i="16"/>
  <c r="F22" i="16"/>
  <c r="G22" i="16" s="1"/>
  <c r="S26" i="16"/>
  <c r="F11" i="16"/>
  <c r="G11" i="16" s="1"/>
  <c r="F17" i="16"/>
  <c r="G17" i="16" s="1"/>
  <c r="R26" i="16"/>
  <c r="E9" i="16"/>
  <c r="U26" i="16"/>
  <c r="F10" i="16"/>
  <c r="G10" i="16" s="1"/>
  <c r="F13" i="16"/>
  <c r="G13" i="16" s="1"/>
  <c r="E22" i="16"/>
  <c r="E23" i="16"/>
  <c r="V26" i="16"/>
  <c r="H26" i="16"/>
  <c r="F15" i="16"/>
  <c r="G15" i="16" s="1"/>
  <c r="E17" i="16"/>
  <c r="C17" i="16" s="1"/>
  <c r="F20" i="16"/>
  <c r="G20" i="16" s="1"/>
  <c r="F23" i="16"/>
  <c r="G23" i="16" s="1"/>
  <c r="O22" i="17"/>
  <c r="F22" i="17"/>
  <c r="J22" i="17"/>
  <c r="N22" i="17"/>
  <c r="D9" i="17"/>
  <c r="C9" i="17" s="1"/>
  <c r="D16" i="17"/>
  <c r="C16" i="17" s="1"/>
  <c r="D7" i="17"/>
  <c r="C7" i="17" s="1"/>
  <c r="D6" i="17"/>
  <c r="C6" i="17" s="1"/>
  <c r="D11" i="17"/>
  <c r="C11" i="17" s="1"/>
  <c r="G22" i="17"/>
  <c r="K22" i="17"/>
  <c r="D8" i="17"/>
  <c r="C8" i="17" s="1"/>
  <c r="D5" i="17"/>
  <c r="C5" i="17" s="1"/>
  <c r="H22" i="17"/>
  <c r="L22" i="17"/>
  <c r="D10" i="17"/>
  <c r="C10" i="17" s="1"/>
  <c r="D13" i="17"/>
  <c r="C13" i="17" s="1"/>
  <c r="D15" i="17"/>
  <c r="C15" i="17" s="1"/>
  <c r="D17" i="17"/>
  <c r="C17" i="17" s="1"/>
  <c r="D18" i="17"/>
  <c r="C18" i="17" s="1"/>
  <c r="D19" i="17"/>
  <c r="C19" i="17" s="1"/>
  <c r="D20" i="17"/>
  <c r="C20" i="17" s="1"/>
  <c r="D21" i="17"/>
  <c r="C21" i="17" s="1"/>
  <c r="E22" i="17"/>
  <c r="I22" i="17"/>
  <c r="M22" i="17"/>
  <c r="D12" i="17"/>
  <c r="C12" i="17" s="1"/>
  <c r="D14" i="17"/>
  <c r="C14" i="17" s="1"/>
  <c r="C18" i="16"/>
  <c r="C16" i="16"/>
  <c r="C21" i="16"/>
  <c r="D9" i="16"/>
  <c r="AN10" i="10"/>
  <c r="C13" i="16" l="1"/>
  <c r="C23" i="16"/>
  <c r="C10" i="16"/>
  <c r="C22" i="16"/>
  <c r="E26" i="16"/>
  <c r="BN39" i="10"/>
  <c r="D11" i="19"/>
  <c r="AJ9" i="10"/>
  <c r="AE9" i="10"/>
  <c r="C11" i="16"/>
  <c r="C14" i="16"/>
  <c r="C15" i="16"/>
  <c r="G26" i="16"/>
  <c r="F26" i="16"/>
  <c r="C20" i="16"/>
  <c r="C22" i="17"/>
  <c r="D22" i="17"/>
  <c r="D26" i="16"/>
  <c r="C9" i="16"/>
  <c r="F22" i="15"/>
  <c r="C22" i="15"/>
  <c r="E21" i="15"/>
  <c r="D21" i="15"/>
  <c r="E20" i="15"/>
  <c r="D20" i="15"/>
  <c r="E19" i="15"/>
  <c r="D19" i="15"/>
  <c r="E18" i="15"/>
  <c r="D18" i="15"/>
  <c r="E17" i="15"/>
  <c r="D17" i="15"/>
  <c r="E16" i="15"/>
  <c r="D16" i="15"/>
  <c r="E15" i="15"/>
  <c r="D15" i="15"/>
  <c r="E14" i="15"/>
  <c r="D14" i="15"/>
  <c r="E13" i="15"/>
  <c r="D13" i="15"/>
  <c r="E12" i="15"/>
  <c r="D12" i="15"/>
  <c r="E11" i="15"/>
  <c r="D11" i="15"/>
  <c r="E10" i="15"/>
  <c r="D10" i="15"/>
  <c r="E9" i="15"/>
  <c r="D9" i="15"/>
  <c r="E8" i="15"/>
  <c r="D8" i="15"/>
  <c r="E7" i="15"/>
  <c r="D7" i="15"/>
  <c r="E6" i="15"/>
  <c r="D6" i="15"/>
  <c r="E5" i="15"/>
  <c r="D5" i="15"/>
  <c r="AB10" i="2"/>
  <c r="AH77" i="14"/>
  <c r="F22" i="14"/>
  <c r="F24" i="14" s="1"/>
  <c r="C22" i="14"/>
  <c r="AE8" i="10" l="1"/>
  <c r="AJ2" i="10"/>
  <c r="BN13" i="10"/>
  <c r="C26" i="16"/>
  <c r="E22" i="15"/>
  <c r="D22" i="15"/>
  <c r="D22" i="14"/>
  <c r="Y10" i="10" l="1"/>
  <c r="Y49" i="10"/>
  <c r="BA10" i="10" l="1"/>
  <c r="AB22" i="2" l="1"/>
  <c r="AB21" i="2" l="1"/>
  <c r="AI20" i="2" l="1"/>
  <c r="AI21" i="2" s="1"/>
  <c r="AI22" i="2" s="1"/>
  <c r="AB50" i="2"/>
  <c r="AC50" i="2"/>
  <c r="AA9" i="2"/>
  <c r="T8" i="2"/>
  <c r="T7" i="2" s="1"/>
  <c r="R49" i="2"/>
  <c r="X54" i="2"/>
  <c r="W54" i="2"/>
  <c r="R54" i="2"/>
  <c r="X52" i="2"/>
  <c r="V52" i="2"/>
  <c r="V54" i="2" s="1"/>
  <c r="X51" i="2"/>
  <c r="V51" i="2"/>
  <c r="AA51" i="2" s="1"/>
  <c r="AA50" i="2" s="1"/>
  <c r="X50" i="2"/>
  <c r="X49" i="2"/>
  <c r="W49" i="2"/>
  <c r="V49" i="2"/>
  <c r="AC48" i="2"/>
  <c r="X48" i="2"/>
  <c r="V48" i="2"/>
  <c r="X47" i="2"/>
  <c r="W47" i="2"/>
  <c r="X46" i="2"/>
  <c r="W46" i="2"/>
  <c r="AA46" i="2" s="1"/>
  <c r="AC45" i="2"/>
  <c r="X45" i="2"/>
  <c r="V45" i="2"/>
  <c r="AC44" i="2"/>
  <c r="AB44" i="2"/>
  <c r="X44" i="2"/>
  <c r="AC43" i="2"/>
  <c r="AB43" i="2"/>
  <c r="X43" i="2"/>
  <c r="AC42" i="2"/>
  <c r="AB42" i="2"/>
  <c r="X42" i="2"/>
  <c r="AC41" i="2"/>
  <c r="X41" i="2"/>
  <c r="V41" i="2"/>
  <c r="AB41" i="2" s="1"/>
  <c r="AC40" i="2"/>
  <c r="AB40" i="2"/>
  <c r="X40" i="2"/>
  <c r="AC39" i="2"/>
  <c r="AB39" i="2"/>
  <c r="AA39" i="2" s="1"/>
  <c r="X39" i="2"/>
  <c r="AB38" i="2"/>
  <c r="AC37" i="2"/>
  <c r="AB37" i="2"/>
  <c r="X37" i="2"/>
  <c r="AC36" i="2"/>
  <c r="X36" i="2"/>
  <c r="V36" i="2"/>
  <c r="AB36" i="2" s="1"/>
  <c r="AC35" i="2"/>
  <c r="AB35" i="2"/>
  <c r="X35" i="2"/>
  <c r="Y34" i="2"/>
  <c r="X34" i="2" s="1"/>
  <c r="W34" i="2"/>
  <c r="X33" i="2"/>
  <c r="W33" i="2"/>
  <c r="V33" i="2"/>
  <c r="AC32" i="2"/>
  <c r="AA32" i="2" s="1"/>
  <c r="X32" i="2"/>
  <c r="V32" i="2"/>
  <c r="U32" i="2" s="1"/>
  <c r="AC31" i="2"/>
  <c r="U31" i="2"/>
  <c r="AC30" i="2"/>
  <c r="AA30" i="2"/>
  <c r="V30" i="2"/>
  <c r="U30" i="2" s="1"/>
  <c r="AA29" i="2"/>
  <c r="W29" i="2"/>
  <c r="U29" i="2" s="1"/>
  <c r="AA28" i="2"/>
  <c r="W28" i="2"/>
  <c r="U28" i="2" s="1"/>
  <c r="W27" i="2"/>
  <c r="AA27" i="2" s="1"/>
  <c r="Y26" i="2"/>
  <c r="X26" i="2" s="1"/>
  <c r="W26" i="2"/>
  <c r="AA26" i="2" s="1"/>
  <c r="X25" i="2"/>
  <c r="W25" i="2"/>
  <c r="AC19" i="2"/>
  <c r="V19" i="2"/>
  <c r="AB19" i="2" s="1"/>
  <c r="AC18" i="2"/>
  <c r="Y18" i="2"/>
  <c r="V18" i="2"/>
  <c r="AC17" i="2"/>
  <c r="Y17" i="2"/>
  <c r="V17" i="2"/>
  <c r="AC16" i="2"/>
  <c r="Y16" i="2"/>
  <c r="V16" i="2"/>
  <c r="Z15" i="2"/>
  <c r="Z14" i="2" s="1"/>
  <c r="W15" i="2"/>
  <c r="AA11" i="2"/>
  <c r="U11" i="2"/>
  <c r="AA10" i="2"/>
  <c r="U10" i="2"/>
  <c r="Z9" i="2"/>
  <c r="Y9" i="2"/>
  <c r="X9" i="2"/>
  <c r="W9" i="2"/>
  <c r="V9" i="2"/>
  <c r="R9" i="2"/>
  <c r="S8" i="2"/>
  <c r="S7" i="2" s="1"/>
  <c r="AU27" i="10"/>
  <c r="AU31" i="10"/>
  <c r="AU40" i="10"/>
  <c r="AP27" i="10"/>
  <c r="AP34" i="10"/>
  <c r="AL13" i="10"/>
  <c r="AB34" i="2" l="1"/>
  <c r="AB14" i="2" s="1"/>
  <c r="AH15" i="2" s="1"/>
  <c r="AA43" i="2"/>
  <c r="AC14" i="2"/>
  <c r="AC8" i="2" s="1"/>
  <c r="AC7" i="2" s="1"/>
  <c r="AH8" i="2" s="1"/>
  <c r="AH9" i="2" s="1"/>
  <c r="V34" i="2"/>
  <c r="U34" i="2" s="1"/>
  <c r="AC38" i="2"/>
  <c r="AB8" i="2"/>
  <c r="AB7" i="2" s="1"/>
  <c r="U9" i="2"/>
  <c r="AH11" i="2"/>
  <c r="AH21" i="2" s="1"/>
  <c r="AA35" i="2"/>
  <c r="AI14" i="2"/>
  <c r="AH23" i="2"/>
  <c r="AH24" i="2" s="1"/>
  <c r="W14" i="2"/>
  <c r="W8" i="2" s="1"/>
  <c r="W7" i="2" s="1"/>
  <c r="AB18" i="2"/>
  <c r="AA18" i="2" s="1"/>
  <c r="AB17" i="2"/>
  <c r="AA17" i="2" s="1"/>
  <c r="AA42" i="2"/>
  <c r="U49" i="2"/>
  <c r="AB16" i="2"/>
  <c r="AA16" i="2" s="1"/>
  <c r="AA44" i="2"/>
  <c r="AA19" i="2"/>
  <c r="AA31" i="2"/>
  <c r="AA45" i="2"/>
  <c r="V50" i="2"/>
  <c r="AA25" i="2"/>
  <c r="AA15" i="2"/>
  <c r="Z8" i="2"/>
  <c r="Z7" i="2" s="1"/>
  <c r="AA48" i="2"/>
  <c r="U33" i="2"/>
  <c r="AA37" i="2"/>
  <c r="AA47" i="2"/>
  <c r="U25" i="2"/>
  <c r="U26" i="2"/>
  <c r="AA36" i="2"/>
  <c r="AA40" i="2"/>
  <c r="R8" i="2"/>
  <c r="R7" i="2" s="1"/>
  <c r="AA41" i="2"/>
  <c r="AA34" i="2"/>
  <c r="AA49" i="2"/>
  <c r="AA33" i="2"/>
  <c r="AA54" i="2"/>
  <c r="U54" i="2"/>
  <c r="U46" i="2"/>
  <c r="U48" i="2"/>
  <c r="U51" i="2"/>
  <c r="U45" i="2"/>
  <c r="U47" i="2"/>
  <c r="U52" i="2"/>
  <c r="AA52" i="2"/>
  <c r="Y15" i="2"/>
  <c r="V15" i="2"/>
  <c r="U27" i="2"/>
  <c r="AY27" i="10"/>
  <c r="AY30" i="10"/>
  <c r="AY31" i="10"/>
  <c r="AY32" i="10"/>
  <c r="AY33" i="10"/>
  <c r="AY34" i="10"/>
  <c r="AX14" i="10"/>
  <c r="AV21" i="10"/>
  <c r="AW21" i="10"/>
  <c r="AX21" i="10"/>
  <c r="AX24" i="10"/>
  <c r="AV27" i="10"/>
  <c r="AW27" i="10"/>
  <c r="AX27" i="10"/>
  <c r="AX30" i="10"/>
  <c r="AV31" i="10"/>
  <c r="AW31" i="10"/>
  <c r="AX31" i="10"/>
  <c r="AV40" i="10"/>
  <c r="AU42" i="10"/>
  <c r="AU45" i="10"/>
  <c r="AV45" i="10"/>
  <c r="AW45" i="10"/>
  <c r="AX45" i="10"/>
  <c r="AU46" i="10"/>
  <c r="AV46" i="10"/>
  <c r="AW46" i="10"/>
  <c r="AX46" i="10"/>
  <c r="AA14" i="2" l="1"/>
  <c r="AA8" i="2" s="1"/>
  <c r="AA7" i="2" s="1"/>
  <c r="AH6" i="2"/>
  <c r="U15" i="2"/>
  <c r="U14" i="2" s="1"/>
  <c r="V14" i="2"/>
  <c r="V8" i="2" s="1"/>
  <c r="V7" i="2" s="1"/>
  <c r="U50" i="2"/>
  <c r="Y14" i="2"/>
  <c r="Y8" i="2" s="1"/>
  <c r="Y7" i="2" s="1"/>
  <c r="X15" i="2"/>
  <c r="X14" i="2" s="1"/>
  <c r="X8" i="2" s="1"/>
  <c r="X7" i="2" s="1"/>
  <c r="AR31" i="10"/>
  <c r="AS31" i="10"/>
  <c r="AR34" i="10"/>
  <c r="AS35" i="10"/>
  <c r="AP40" i="10"/>
  <c r="AQ40" i="10"/>
  <c r="AP45" i="10"/>
  <c r="AQ45" i="10"/>
  <c r="AR45" i="10"/>
  <c r="AS45" i="10"/>
  <c r="AP46" i="10"/>
  <c r="AQ46" i="10"/>
  <c r="AR46" i="10"/>
  <c r="AS46" i="10"/>
  <c r="AQ27" i="10"/>
  <c r="AO31" i="10"/>
  <c r="AD9" i="10"/>
  <c r="AO27" i="10"/>
  <c r="AO30" i="10"/>
  <c r="AO32" i="10"/>
  <c r="AO33" i="10"/>
  <c r="AO34" i="10"/>
  <c r="BE42" i="10"/>
  <c r="AQ42" i="10"/>
  <c r="AP42" i="10"/>
  <c r="AX35" i="10"/>
  <c r="AL35" i="10"/>
  <c r="AK35" i="10"/>
  <c r="AW34" i="10"/>
  <c r="AK33" i="10"/>
  <c r="AS33" i="10"/>
  <c r="AR33" i="10"/>
  <c r="AX32" i="10"/>
  <c r="AW32" i="10"/>
  <c r="AR32" i="10"/>
  <c r="AL30" i="10"/>
  <c r="AS30" i="10"/>
  <c r="AS27" i="10"/>
  <c r="AR27" i="10"/>
  <c r="AV39" i="10"/>
  <c r="AL26" i="10"/>
  <c r="AS24" i="10"/>
  <c r="AL25" i="10"/>
  <c r="AW24" i="10"/>
  <c r="AK24" i="10"/>
  <c r="AL23" i="10"/>
  <c r="AS21" i="10"/>
  <c r="AL22" i="10"/>
  <c r="AU21" i="10"/>
  <c r="AL20" i="10"/>
  <c r="AL19" i="10"/>
  <c r="AL18" i="10"/>
  <c r="AL17" i="10"/>
  <c r="AL16" i="10"/>
  <c r="AL15" i="10"/>
  <c r="AV14" i="10"/>
  <c r="AS14" i="10"/>
  <c r="AV13" i="10"/>
  <c r="AM12" i="10"/>
  <c r="AX12" i="10"/>
  <c r="S8" i="10"/>
  <c r="BF13" i="10"/>
  <c r="BF14" i="10" s="1"/>
  <c r="Q9" i="10"/>
  <c r="P9" i="10"/>
  <c r="D8" i="10"/>
  <c r="BE6" i="10"/>
  <c r="BE1" i="10"/>
  <c r="BE2" i="10" s="1"/>
  <c r="AC32" i="1"/>
  <c r="X19" i="1"/>
  <c r="AC12" i="1"/>
  <c r="AB12" i="1" s="1"/>
  <c r="AB32" i="1"/>
  <c r="I32" i="1"/>
  <c r="H32" i="1"/>
  <c r="AC26" i="1"/>
  <c r="AB22" i="1"/>
  <c r="H24" i="1"/>
  <c r="H20" i="1"/>
  <c r="E20" i="1"/>
  <c r="I21" i="1"/>
  <c r="H21" i="1"/>
  <c r="Y39" i="1"/>
  <c r="Y38" i="1"/>
  <c r="Y37" i="1"/>
  <c r="AC36" i="1"/>
  <c r="AB36" i="1"/>
  <c r="AA36" i="1"/>
  <c r="AC35" i="1"/>
  <c r="AB35" i="1"/>
  <c r="AC33" i="1"/>
  <c r="AA33" i="1"/>
  <c r="Z33" i="1"/>
  <c r="AA31" i="1"/>
  <c r="AA25" i="1"/>
  <c r="Z25" i="1"/>
  <c r="AA12" i="1"/>
  <c r="AA11" i="1"/>
  <c r="AB10" i="1"/>
  <c r="AA10" i="1"/>
  <c r="AL11" i="10" l="1"/>
  <c r="AN3" i="10" s="1"/>
  <c r="Y35" i="1"/>
  <c r="AK29" i="10"/>
  <c r="AP29" i="10"/>
  <c r="AU29" i="10"/>
  <c r="AN46" i="10"/>
  <c r="BA46" i="10"/>
  <c r="AJ17" i="10"/>
  <c r="AK17" i="10"/>
  <c r="AJ22" i="10"/>
  <c r="AK22" i="10"/>
  <c r="AJ23" i="10"/>
  <c r="AK23" i="10"/>
  <c r="AK25" i="10"/>
  <c r="AJ25" i="10"/>
  <c r="AK26" i="10"/>
  <c r="AJ26" i="10"/>
  <c r="AK28" i="10"/>
  <c r="AP28" i="10"/>
  <c r="AU28" i="10"/>
  <c r="AQ31" i="10"/>
  <c r="AP31" i="10"/>
  <c r="AJ15" i="10"/>
  <c r="AK15" i="10"/>
  <c r="AK16" i="10"/>
  <c r="AJ16" i="10"/>
  <c r="AK20" i="10"/>
  <c r="AJ20" i="10"/>
  <c r="AJ28" i="10"/>
  <c r="AL28" i="10"/>
  <c r="AN45" i="10"/>
  <c r="BA45" i="10"/>
  <c r="AJ29" i="10"/>
  <c r="AL29" i="10"/>
  <c r="AJ19" i="10"/>
  <c r="AK19" i="10"/>
  <c r="AW13" i="10"/>
  <c r="AM13" i="10"/>
  <c r="AK18" i="10"/>
  <c r="AJ18" i="10"/>
  <c r="AK30" i="10"/>
  <c r="AK11" i="10" s="1"/>
  <c r="AP30" i="10"/>
  <c r="AU30" i="10"/>
  <c r="K8" i="10"/>
  <c r="AP33" i="10"/>
  <c r="AU33" i="10"/>
  <c r="G9" i="10"/>
  <c r="AU39" i="10"/>
  <c r="AP39" i="10"/>
  <c r="AU35" i="10"/>
  <c r="AP35" i="10"/>
  <c r="AQ21" i="10"/>
  <c r="AP21" i="10"/>
  <c r="AP14" i="10"/>
  <c r="AU14" i="10"/>
  <c r="AP22" i="10"/>
  <c r="AU22" i="10"/>
  <c r="AU23" i="10"/>
  <c r="AP23" i="10"/>
  <c r="AP32" i="10"/>
  <c r="AU32" i="10"/>
  <c r="AU34" i="10"/>
  <c r="U8" i="2"/>
  <c r="U7" i="2" s="1"/>
  <c r="AW14" i="10"/>
  <c r="AX13" i="10"/>
  <c r="AV30" i="10"/>
  <c r="AV28" i="10"/>
  <c r="AQ28" i="10"/>
  <c r="C8" i="10"/>
  <c r="AX33" i="10"/>
  <c r="AO21" i="10"/>
  <c r="AY21" i="10"/>
  <c r="AO24" i="10"/>
  <c r="AY24" i="10"/>
  <c r="AO45" i="10"/>
  <c r="AY45" i="10"/>
  <c r="AS32" i="10"/>
  <c r="O9" i="10"/>
  <c r="AY14" i="10"/>
  <c r="AO46" i="10"/>
  <c r="AY46" i="10"/>
  <c r="AR13" i="10"/>
  <c r="Q8" i="10"/>
  <c r="AO35" i="10"/>
  <c r="AY35" i="10"/>
  <c r="AN40" i="10"/>
  <c r="AR24" i="10"/>
  <c r="AS12" i="10"/>
  <c r="AZ45" i="10"/>
  <c r="AT45" i="10"/>
  <c r="AT46" i="10"/>
  <c r="AZ46" i="10"/>
  <c r="AR17" i="10"/>
  <c r="AW17" i="10"/>
  <c r="P8" i="10"/>
  <c r="AR12" i="10"/>
  <c r="AW12" i="10"/>
  <c r="AS17" i="10"/>
  <c r="AX17" i="10"/>
  <c r="AQ22" i="10"/>
  <c r="AV22" i="10"/>
  <c r="AQ25" i="10"/>
  <c r="AV25" i="10"/>
  <c r="AQ26" i="10"/>
  <c r="AV26" i="10"/>
  <c r="AR28" i="10"/>
  <c r="AW28" i="10"/>
  <c r="AQ29" i="10"/>
  <c r="AV29" i="10"/>
  <c r="W8" i="10"/>
  <c r="AW33" i="10"/>
  <c r="AR42" i="10"/>
  <c r="AW42" i="10"/>
  <c r="AR15" i="10"/>
  <c r="AW15" i="10"/>
  <c r="AR16" i="10"/>
  <c r="AW16" i="10"/>
  <c r="AR18" i="10"/>
  <c r="AW18" i="10"/>
  <c r="AS19" i="10"/>
  <c r="AX19" i="10"/>
  <c r="AQ20" i="10"/>
  <c r="AV20" i="10"/>
  <c r="AR22" i="10"/>
  <c r="AW22" i="10"/>
  <c r="AR23" i="10"/>
  <c r="AW23" i="10"/>
  <c r="AR25" i="10"/>
  <c r="AW25" i="10"/>
  <c r="AR26" i="10"/>
  <c r="AW26" i="10"/>
  <c r="AS39" i="10"/>
  <c r="AX39" i="10"/>
  <c r="AR29" i="10"/>
  <c r="AW29" i="10"/>
  <c r="AS42" i="10"/>
  <c r="AX42" i="10"/>
  <c r="AQ39" i="10"/>
  <c r="AQ15" i="10"/>
  <c r="AQ13" i="10"/>
  <c r="AQ12" i="10"/>
  <c r="AV12" i="10"/>
  <c r="AR19" i="10"/>
  <c r="AW19" i="10"/>
  <c r="AS20" i="10"/>
  <c r="AX20" i="10"/>
  <c r="AS28" i="10"/>
  <c r="AX28" i="10"/>
  <c r="AQ23" i="10"/>
  <c r="AV23" i="10"/>
  <c r="AR39" i="10"/>
  <c r="AW39" i="10"/>
  <c r="AR30" i="10"/>
  <c r="AW30" i="10"/>
  <c r="AQ32" i="10"/>
  <c r="AV32" i="10"/>
  <c r="AQ35" i="10"/>
  <c r="AV35" i="10"/>
  <c r="AQ16" i="10"/>
  <c r="L8" i="10"/>
  <c r="AS15" i="10"/>
  <c r="AX15" i="10"/>
  <c r="AS16" i="10"/>
  <c r="AX16" i="10"/>
  <c r="AQ17" i="10"/>
  <c r="AV17" i="10"/>
  <c r="AS18" i="10"/>
  <c r="AX18" i="10"/>
  <c r="AR20" i="10"/>
  <c r="AW20" i="10"/>
  <c r="AS22" i="10"/>
  <c r="AX22" i="10"/>
  <c r="AS23" i="10"/>
  <c r="AX23" i="10"/>
  <c r="AS25" i="10"/>
  <c r="AX25" i="10"/>
  <c r="AS26" i="10"/>
  <c r="AX26" i="10"/>
  <c r="AS29" i="10"/>
  <c r="AX29" i="10"/>
  <c r="AV34" i="10"/>
  <c r="AR40" i="10"/>
  <c r="AW40" i="10"/>
  <c r="AQ19" i="10"/>
  <c r="AQ14" i="10"/>
  <c r="AQ34" i="10"/>
  <c r="AS34" i="10"/>
  <c r="AX34" i="10"/>
  <c r="AS40" i="10"/>
  <c r="AX40" i="10"/>
  <c r="AV42" i="10"/>
  <c r="AQ24" i="10"/>
  <c r="S9" i="10"/>
  <c r="AN17" i="10"/>
  <c r="R9" i="10"/>
  <c r="AR21" i="10"/>
  <c r="AN26" i="10"/>
  <c r="AN13" i="10"/>
  <c r="AN34" i="10"/>
  <c r="AN25" i="10"/>
  <c r="AN18" i="10"/>
  <c r="AN19" i="10"/>
  <c r="AN20" i="10"/>
  <c r="AD8" i="10"/>
  <c r="BF30" i="10"/>
  <c r="AA8" i="10"/>
  <c r="BF11" i="10"/>
  <c r="AN22" i="10"/>
  <c r="AN23" i="10"/>
  <c r="AN32" i="10"/>
  <c r="AN35" i="10"/>
  <c r="R8" i="10"/>
  <c r="Y36" i="1"/>
  <c r="X35" i="1"/>
  <c r="W35" i="1"/>
  <c r="X34" i="1"/>
  <c r="V33" i="1"/>
  <c r="W33" i="1"/>
  <c r="X33" i="1"/>
  <c r="U33" i="1"/>
  <c r="X32" i="1"/>
  <c r="W32" i="1"/>
  <c r="W31" i="1"/>
  <c r="V31" i="1"/>
  <c r="W30" i="1"/>
  <c r="X30" i="1"/>
  <c r="V30" i="1"/>
  <c r="X29" i="1"/>
  <c r="V26" i="1"/>
  <c r="W26" i="1"/>
  <c r="X26" i="1"/>
  <c r="U26" i="1"/>
  <c r="V25" i="1"/>
  <c r="U25" i="1"/>
  <c r="X22" i="1"/>
  <c r="W22" i="1"/>
  <c r="W19" i="1"/>
  <c r="V19" i="1"/>
  <c r="W12" i="1"/>
  <c r="X12" i="1"/>
  <c r="W10" i="1"/>
  <c r="V11" i="1"/>
  <c r="V12" i="1"/>
  <c r="V10" i="1"/>
  <c r="U10" i="1"/>
  <c r="Z10" i="1" s="1"/>
  <c r="W11" i="1"/>
  <c r="AB11" i="1" s="1"/>
  <c r="X10" i="1"/>
  <c r="AC10" i="1" s="1"/>
  <c r="A15" i="9"/>
  <c r="A14" i="9"/>
  <c r="A12" i="9"/>
  <c r="A11" i="9"/>
  <c r="A10" i="9"/>
  <c r="A9" i="9"/>
  <c r="A8" i="9"/>
  <c r="A7" i="9"/>
  <c r="A5" i="9"/>
  <c r="A4" i="9"/>
  <c r="A3" i="9"/>
  <c r="A13" i="9"/>
  <c r="AR35" i="10" l="1"/>
  <c r="K9" i="10"/>
  <c r="AL8" i="10"/>
  <c r="AL9" i="10"/>
  <c r="G8" i="10"/>
  <c r="AK9" i="10"/>
  <c r="AK8" i="10"/>
  <c r="AN28" i="10"/>
  <c r="BA28" i="10"/>
  <c r="BG13" i="10"/>
  <c r="AN16" i="10"/>
  <c r="AN29" i="10"/>
  <c r="BA29" i="10"/>
  <c r="AW35" i="10"/>
  <c r="AS13" i="10"/>
  <c r="Y10" i="1"/>
  <c r="AU12" i="10"/>
  <c r="AP12" i="10"/>
  <c r="AN39" i="10"/>
  <c r="BA39" i="10"/>
  <c r="AN27" i="10"/>
  <c r="AN12" i="10"/>
  <c r="BA12" i="10"/>
  <c r="AN42" i="10"/>
  <c r="BA42" i="10"/>
  <c r="AN33" i="10"/>
  <c r="AN31" i="10"/>
  <c r="BA31" i="10"/>
  <c r="AN30" i="10"/>
  <c r="BA30" i="10"/>
  <c r="AN24" i="10"/>
  <c r="AN21" i="10"/>
  <c r="BA35" i="10"/>
  <c r="BA25" i="10"/>
  <c r="BA22" i="10"/>
  <c r="BA19" i="10"/>
  <c r="BA34" i="10"/>
  <c r="BA40" i="10"/>
  <c r="BA23" i="10"/>
  <c r="BA20" i="10"/>
  <c r="BA32" i="10"/>
  <c r="BA26" i="10"/>
  <c r="BA16" i="10"/>
  <c r="BA18" i="10"/>
  <c r="BA27" i="10"/>
  <c r="BA13" i="10"/>
  <c r="BA17" i="10"/>
  <c r="AZ21" i="10"/>
  <c r="BA21" i="10"/>
  <c r="AZ24" i="10"/>
  <c r="BA24" i="10"/>
  <c r="AZ33" i="10"/>
  <c r="BA33" i="10"/>
  <c r="AV19" i="10"/>
  <c r="AV18" i="10"/>
  <c r="AQ33" i="10"/>
  <c r="AP11" i="10"/>
  <c r="AA9" i="10"/>
  <c r="AU19" i="10"/>
  <c r="AP19" i="10"/>
  <c r="AP16" i="10"/>
  <c r="AU16" i="10"/>
  <c r="AU18" i="10"/>
  <c r="AP18" i="10"/>
  <c r="AY26" i="10"/>
  <c r="AU26" i="10"/>
  <c r="AP26" i="10"/>
  <c r="AU11" i="10"/>
  <c r="AV16" i="10"/>
  <c r="AV15" i="10"/>
  <c r="AP13" i="10"/>
  <c r="AU13" i="10"/>
  <c r="AU15" i="10"/>
  <c r="AP15" i="10"/>
  <c r="AV24" i="10"/>
  <c r="AB1" i="10"/>
  <c r="AP17" i="10"/>
  <c r="AU17" i="10"/>
  <c r="AP24" i="10"/>
  <c r="AU24" i="10"/>
  <c r="AU20" i="10"/>
  <c r="AP20" i="10"/>
  <c r="AP25" i="10"/>
  <c r="AU25" i="10"/>
  <c r="AQ18" i="10"/>
  <c r="AC8" i="10"/>
  <c r="AW8" i="10" s="1"/>
  <c r="AC9" i="10"/>
  <c r="X9" i="10"/>
  <c r="AX9" i="10" s="1"/>
  <c r="X8" i="10"/>
  <c r="AX8" i="10" s="1"/>
  <c r="AX11" i="10"/>
  <c r="AQ30" i="10"/>
  <c r="AV33" i="10"/>
  <c r="L9" i="10"/>
  <c r="AY42" i="10"/>
  <c r="AZ42" i="10"/>
  <c r="AO14" i="10"/>
  <c r="AT31" i="10"/>
  <c r="AZ31" i="10"/>
  <c r="W9" i="10"/>
  <c r="AW11" i="10"/>
  <c r="BF1" i="10"/>
  <c r="AT27" i="10"/>
  <c r="AZ27" i="10"/>
  <c r="E9" i="10"/>
  <c r="O8" i="10"/>
  <c r="AT35" i="10"/>
  <c r="AZ35" i="10"/>
  <c r="AY22" i="10"/>
  <c r="AZ22" i="10"/>
  <c r="AT34" i="10"/>
  <c r="AZ34" i="10"/>
  <c r="AT32" i="10"/>
  <c r="AZ32" i="10"/>
  <c r="AT30" i="10"/>
  <c r="AZ30" i="10"/>
  <c r="AY23" i="10"/>
  <c r="AZ23" i="10"/>
  <c r="AY40" i="10"/>
  <c r="AZ40" i="10"/>
  <c r="AZ39" i="10"/>
  <c r="AT14" i="10"/>
  <c r="AZ14" i="10"/>
  <c r="AO26" i="10"/>
  <c r="AO40" i="10"/>
  <c r="AT40" i="10"/>
  <c r="AO39" i="10"/>
  <c r="AT39" i="10"/>
  <c r="AT33" i="10"/>
  <c r="AO23" i="10"/>
  <c r="AT23" i="10"/>
  <c r="AO22" i="10"/>
  <c r="AT22" i="10"/>
  <c r="AT21" i="10"/>
  <c r="AO42" i="10"/>
  <c r="AT42" i="10"/>
  <c r="AT24" i="10"/>
  <c r="I8" i="10"/>
  <c r="AS8" i="10" s="1"/>
  <c r="AS11" i="10"/>
  <c r="I9" i="10"/>
  <c r="AR11" i="10"/>
  <c r="AR14" i="10"/>
  <c r="N8" i="10"/>
  <c r="N9" i="10"/>
  <c r="AJ13" i="10"/>
  <c r="F9" i="10"/>
  <c r="U8" i="10"/>
  <c r="U9" i="10"/>
  <c r="V8" i="10"/>
  <c r="V9" i="10"/>
  <c r="F8" i="10"/>
  <c r="AJ12" i="10"/>
  <c r="BA15" i="10"/>
  <c r="BN23" i="10" l="1"/>
  <c r="BN22" i="10"/>
  <c r="BN20" i="10"/>
  <c r="BN25" i="10"/>
  <c r="BN17" i="10"/>
  <c r="BN19" i="10"/>
  <c r="BN28" i="10"/>
  <c r="BN18" i="10"/>
  <c r="BN26" i="10"/>
  <c r="BN29" i="10"/>
  <c r="AN15" i="10"/>
  <c r="AU9" i="10"/>
  <c r="T9" i="10"/>
  <c r="AZ26" i="10"/>
  <c r="AO11" i="10"/>
  <c r="AT26" i="10"/>
  <c r="Z8" i="10"/>
  <c r="AW9" i="10"/>
  <c r="E8" i="10"/>
  <c r="BF5" i="10" s="1"/>
  <c r="BF24" i="10"/>
  <c r="AU8" i="10"/>
  <c r="AY15" i="10"/>
  <c r="AZ15" i="10"/>
  <c r="AY16" i="10"/>
  <c r="AZ16" i="10"/>
  <c r="AY17" i="10"/>
  <c r="AZ17" i="10"/>
  <c r="AY25" i="10"/>
  <c r="AZ25" i="10"/>
  <c r="AY20" i="10"/>
  <c r="AZ20" i="10"/>
  <c r="AY18" i="10"/>
  <c r="AZ18" i="10"/>
  <c r="AY28" i="10"/>
  <c r="AZ28" i="10"/>
  <c r="AY19" i="10"/>
  <c r="AZ19" i="10"/>
  <c r="AY29" i="10"/>
  <c r="AZ29" i="10"/>
  <c r="AO19" i="10"/>
  <c r="AT19" i="10"/>
  <c r="AT12" i="10"/>
  <c r="AO15" i="10"/>
  <c r="AT15" i="10"/>
  <c r="AO29" i="10"/>
  <c r="AT29" i="10"/>
  <c r="AO17" i="10"/>
  <c r="AT17" i="10"/>
  <c r="AO25" i="10"/>
  <c r="AT25" i="10"/>
  <c r="AO16" i="10"/>
  <c r="AT16" i="10"/>
  <c r="AO18" i="10"/>
  <c r="AT18" i="10"/>
  <c r="AO28" i="10"/>
  <c r="AT28" i="10"/>
  <c r="AO20" i="10"/>
  <c r="AT20" i="10"/>
  <c r="AO13" i="10"/>
  <c r="AT13" i="10"/>
  <c r="AS9" i="10"/>
  <c r="AP9" i="10"/>
  <c r="H8" i="10"/>
  <c r="H9" i="10"/>
  <c r="AP8" i="10"/>
  <c r="AO12" i="10"/>
  <c r="M9" i="10"/>
  <c r="AN14" i="10"/>
  <c r="BG14" i="10"/>
  <c r="BG12" i="10"/>
  <c r="T8" i="10"/>
  <c r="BA14" i="10" l="1"/>
  <c r="AO8" i="10"/>
  <c r="AK1" i="10"/>
  <c r="Z9" i="10"/>
  <c r="AY9" i="10" s="1"/>
  <c r="AZ11" i="10"/>
  <c r="AO9" i="10"/>
  <c r="AY11" i="10"/>
  <c r="AZ8" i="10"/>
  <c r="AT11" i="10"/>
  <c r="AY8" i="10"/>
  <c r="AT8" i="10"/>
  <c r="AR9" i="10"/>
  <c r="AQ11" i="10"/>
  <c r="M8" i="10"/>
  <c r="AN6" i="1"/>
  <c r="J30" i="1"/>
  <c r="AN11" i="10" l="1"/>
  <c r="J9" i="10"/>
  <c r="AN9" i="10" s="1"/>
  <c r="BA11" i="10"/>
  <c r="AZ9" i="10"/>
  <c r="AT9" i="10"/>
  <c r="AB8" i="10"/>
  <c r="AB9" i="10"/>
  <c r="AV9" i="10" s="1"/>
  <c r="AV11" i="10"/>
  <c r="AR8" i="10"/>
  <c r="AQ9" i="10"/>
  <c r="J8" i="10"/>
  <c r="BA4" i="10" s="1"/>
  <c r="BF2" i="10"/>
  <c r="BF3" i="10" s="1"/>
  <c r="BG21" i="10"/>
  <c r="BG24" i="10" s="1"/>
  <c r="BF21" i="10"/>
  <c r="Y8" i="10" l="1"/>
  <c r="AN8" i="10"/>
  <c r="BA9" i="10"/>
  <c r="Y9" i="10"/>
  <c r="BA8" i="10"/>
  <c r="AV8" i="10"/>
  <c r="AQ8" i="10"/>
  <c r="BF6" i="10"/>
  <c r="N11" i="2"/>
  <c r="AN1" i="1" l="1"/>
  <c r="AN2" i="1" s="1"/>
  <c r="AN36" i="1"/>
  <c r="N29" i="2"/>
  <c r="N28" i="2"/>
  <c r="W34" i="1" l="1"/>
  <c r="AB34" i="1" s="1"/>
  <c r="V34" i="1"/>
  <c r="AA34" i="1" s="1"/>
  <c r="U34" i="1"/>
  <c r="Z34" i="1" s="1"/>
  <c r="V32" i="1"/>
  <c r="AA32" i="1" s="1"/>
  <c r="U32" i="1"/>
  <c r="Z32" i="1" s="1"/>
  <c r="X31" i="1"/>
  <c r="AC31" i="1" s="1"/>
  <c r="U31" i="1"/>
  <c r="Z31" i="1" s="1"/>
  <c r="U27" i="1"/>
  <c r="Z27" i="1" s="1"/>
  <c r="V27" i="1"/>
  <c r="AA27" i="1" s="1"/>
  <c r="W27" i="1"/>
  <c r="AB27" i="1" s="1"/>
  <c r="X27" i="1"/>
  <c r="AC27" i="1" s="1"/>
  <c r="U28" i="1"/>
  <c r="Z28" i="1" s="1"/>
  <c r="V28" i="1"/>
  <c r="AA28" i="1" s="1"/>
  <c r="W28" i="1"/>
  <c r="AB28" i="1" s="1"/>
  <c r="X28" i="1"/>
  <c r="AC28" i="1" s="1"/>
  <c r="U29" i="1"/>
  <c r="Z29" i="1" s="1"/>
  <c r="V29" i="1"/>
  <c r="AA29" i="1" s="1"/>
  <c r="W29" i="1"/>
  <c r="AB29" i="1" s="1"/>
  <c r="U11" i="1"/>
  <c r="Z11" i="1" s="1"/>
  <c r="X11" i="1"/>
  <c r="AC11" i="1" s="1"/>
  <c r="U12" i="1"/>
  <c r="Z12" i="1" s="1"/>
  <c r="U13" i="1"/>
  <c r="Z13" i="1" s="1"/>
  <c r="V13" i="1"/>
  <c r="AA13" i="1" s="1"/>
  <c r="W13" i="1"/>
  <c r="AB13" i="1" s="1"/>
  <c r="X13" i="1"/>
  <c r="AC13" i="1" s="1"/>
  <c r="U14" i="1"/>
  <c r="Z14" i="1" s="1"/>
  <c r="V14" i="1"/>
  <c r="AA14" i="1" s="1"/>
  <c r="W14" i="1"/>
  <c r="AB14" i="1" s="1"/>
  <c r="X14" i="1"/>
  <c r="AC14" i="1" s="1"/>
  <c r="U15" i="1"/>
  <c r="Z15" i="1" s="1"/>
  <c r="V15" i="1"/>
  <c r="AA15" i="1" s="1"/>
  <c r="W15" i="1"/>
  <c r="AB15" i="1" s="1"/>
  <c r="X15" i="1"/>
  <c r="AC15" i="1" s="1"/>
  <c r="U16" i="1"/>
  <c r="Z16" i="1" s="1"/>
  <c r="V16" i="1"/>
  <c r="AA16" i="1" s="1"/>
  <c r="W16" i="1"/>
  <c r="AB16" i="1" s="1"/>
  <c r="X16" i="1"/>
  <c r="AC16" i="1" s="1"/>
  <c r="U17" i="1"/>
  <c r="Z17" i="1" s="1"/>
  <c r="V17" i="1"/>
  <c r="AA17" i="1" s="1"/>
  <c r="W17" i="1"/>
  <c r="AB17" i="1" s="1"/>
  <c r="X17" i="1"/>
  <c r="AC17" i="1" s="1"/>
  <c r="U18" i="1"/>
  <c r="Z18" i="1" s="1"/>
  <c r="V18" i="1"/>
  <c r="AA18" i="1" s="1"/>
  <c r="W18" i="1"/>
  <c r="AB18" i="1" s="1"/>
  <c r="X18" i="1"/>
  <c r="AC18" i="1" s="1"/>
  <c r="U19" i="1"/>
  <c r="Z19" i="1" s="1"/>
  <c r="U20" i="1"/>
  <c r="Z20" i="1" s="1"/>
  <c r="V20" i="1"/>
  <c r="AA20" i="1" s="1"/>
  <c r="W20" i="1"/>
  <c r="AB20" i="1" s="1"/>
  <c r="X20" i="1"/>
  <c r="AC20" i="1" s="1"/>
  <c r="U21" i="1"/>
  <c r="Z21" i="1" s="1"/>
  <c r="V21" i="1"/>
  <c r="AA21" i="1" s="1"/>
  <c r="W21" i="1"/>
  <c r="AB21" i="1" s="1"/>
  <c r="X21" i="1"/>
  <c r="AC21" i="1" s="1"/>
  <c r="U22" i="1"/>
  <c r="Z22" i="1" s="1"/>
  <c r="V22" i="1"/>
  <c r="U23" i="1"/>
  <c r="Z23" i="1" s="1"/>
  <c r="V23" i="1"/>
  <c r="AA23" i="1" s="1"/>
  <c r="W23" i="1"/>
  <c r="AB23" i="1" s="1"/>
  <c r="X23" i="1"/>
  <c r="AC23" i="1" s="1"/>
  <c r="U24" i="1"/>
  <c r="Z24" i="1" s="1"/>
  <c r="V24" i="1"/>
  <c r="AA24" i="1" s="1"/>
  <c r="W24" i="1"/>
  <c r="AB24" i="1" s="1"/>
  <c r="X24" i="1"/>
  <c r="AC24" i="1" s="1"/>
  <c r="W25" i="1"/>
  <c r="AB25" i="1" s="1"/>
  <c r="X25" i="1"/>
  <c r="T30" i="1"/>
  <c r="B7" i="8" s="1"/>
  <c r="Y27" i="1" l="1"/>
  <c r="Y28" i="1"/>
  <c r="Y11" i="1"/>
  <c r="AC25" i="1"/>
  <c r="AC9" i="1" s="1"/>
  <c r="X9" i="1"/>
  <c r="AB9" i="1"/>
  <c r="AB1" i="1" s="1"/>
  <c r="Y24" i="1"/>
  <c r="Y23" i="1"/>
  <c r="Y18" i="1"/>
  <c r="Y16" i="1"/>
  <c r="Y15" i="1"/>
  <c r="Y14" i="1"/>
  <c r="Y13" i="1"/>
  <c r="Y17" i="1"/>
  <c r="Y21" i="1"/>
  <c r="Z9" i="1"/>
  <c r="Z8" i="1" s="1"/>
  <c r="AA22" i="1"/>
  <c r="AA9" i="1" s="1"/>
  <c r="AA8" i="1" s="1"/>
  <c r="V9" i="1"/>
  <c r="Y20" i="1"/>
  <c r="U9" i="1"/>
  <c r="AH30" i="1"/>
  <c r="Y25" i="1" l="1"/>
  <c r="Y9" i="1" s="1"/>
  <c r="AA3" i="1" s="1"/>
  <c r="AB8" i="1"/>
  <c r="AC1" i="1"/>
  <c r="AC8" i="1"/>
  <c r="Y8" i="1" l="1"/>
  <c r="AA1" i="1"/>
  <c r="AE3" i="2"/>
  <c r="T39" i="1"/>
  <c r="T38" i="1"/>
  <c r="T37" i="1"/>
  <c r="X36" i="1"/>
  <c r="W36" i="1"/>
  <c r="V36" i="1"/>
  <c r="V8" i="1" s="1"/>
  <c r="T35" i="1"/>
  <c r="T34" i="1"/>
  <c r="T33" i="1"/>
  <c r="T32" i="1"/>
  <c r="T31" i="1"/>
  <c r="T29" i="1"/>
  <c r="T28" i="1"/>
  <c r="T27" i="1"/>
  <c r="T26" i="1"/>
  <c r="T25" i="1"/>
  <c r="T24" i="1"/>
  <c r="T23" i="1"/>
  <c r="T22" i="1"/>
  <c r="T21" i="1"/>
  <c r="T20" i="1"/>
  <c r="T19" i="1"/>
  <c r="T18" i="1"/>
  <c r="T17" i="1"/>
  <c r="T16" i="1"/>
  <c r="T15" i="1"/>
  <c r="T14" i="1"/>
  <c r="T13" i="1"/>
  <c r="T12" i="1"/>
  <c r="B6" i="8" s="1"/>
  <c r="T11" i="1"/>
  <c r="T10" i="1"/>
  <c r="W9" i="1"/>
  <c r="U8" i="1"/>
  <c r="R9" i="1"/>
  <c r="AO11" i="1" s="1"/>
  <c r="AO12" i="1" s="1"/>
  <c r="W8" i="1" l="1"/>
  <c r="X8" i="1"/>
  <c r="AO29" i="1"/>
  <c r="T36" i="1"/>
  <c r="AH18" i="1"/>
  <c r="AH31" i="1"/>
  <c r="AH15" i="1"/>
  <c r="AH27" i="1"/>
  <c r="AH32" i="1"/>
  <c r="AI32" i="1"/>
  <c r="AH16" i="1"/>
  <c r="AH24" i="1"/>
  <c r="AH28" i="1"/>
  <c r="AI33" i="1"/>
  <c r="AH33" i="1"/>
  <c r="AH26" i="1"/>
  <c r="AH17" i="1"/>
  <c r="AH21" i="1"/>
  <c r="AH29" i="1"/>
  <c r="T9" i="1"/>
  <c r="B5" i="8" s="1"/>
  <c r="AF26" i="2"/>
  <c r="AG26" i="2" s="1"/>
  <c r="AF25" i="2"/>
  <c r="AG25" i="2" s="1"/>
  <c r="AP12" i="1" l="1"/>
  <c r="AF27" i="2"/>
  <c r="AF28" i="2" s="1"/>
  <c r="T8" i="1"/>
  <c r="B4" i="8" s="1"/>
  <c r="Q9" i="1"/>
  <c r="P9" i="1"/>
  <c r="S9" i="1"/>
  <c r="AO9" i="1" s="1"/>
  <c r="O35" i="1"/>
  <c r="AE10" i="2" l="1"/>
  <c r="AE26" i="2" l="1"/>
  <c r="AD26" i="2"/>
  <c r="D5" i="3" l="1"/>
  <c r="C14" i="8" s="1"/>
  <c r="O39" i="1" l="1"/>
  <c r="P8" i="1"/>
  <c r="D5" i="7" l="1"/>
  <c r="D5" i="4" l="1"/>
  <c r="C15" i="8" s="1"/>
  <c r="D5" i="6"/>
  <c r="D9" i="6" s="1"/>
  <c r="O11" i="1"/>
  <c r="O12" i="1"/>
  <c r="O13" i="1"/>
  <c r="O14" i="1"/>
  <c r="O15" i="1"/>
  <c r="O16" i="1"/>
  <c r="O17" i="1"/>
  <c r="O18" i="1"/>
  <c r="O19" i="1"/>
  <c r="O20" i="1"/>
  <c r="O21" i="1"/>
  <c r="O22" i="1"/>
  <c r="O23" i="1"/>
  <c r="O24" i="1"/>
  <c r="O25" i="1"/>
  <c r="O26" i="1"/>
  <c r="O27" i="1"/>
  <c r="O28" i="1"/>
  <c r="O29" i="1"/>
  <c r="O30" i="1"/>
  <c r="O31" i="1"/>
  <c r="O32" i="1"/>
  <c r="O33" i="1"/>
  <c r="O34" i="1"/>
  <c r="O37" i="1"/>
  <c r="O38" i="1"/>
  <c r="O10" i="1"/>
  <c r="O9" i="1" l="1"/>
  <c r="C7" i="8"/>
  <c r="E7" i="8" s="1"/>
  <c r="S36" i="1"/>
  <c r="S8" i="1" s="1"/>
  <c r="R36" i="1"/>
  <c r="R8" i="1" s="1"/>
  <c r="Q36" i="1"/>
  <c r="Q8" i="1" s="1"/>
  <c r="J54" i="2"/>
  <c r="I54" i="2"/>
  <c r="O54" i="2" s="1"/>
  <c r="D54" i="2"/>
  <c r="O52" i="2"/>
  <c r="J52" i="2"/>
  <c r="H52" i="2"/>
  <c r="O51" i="2"/>
  <c r="J51" i="2"/>
  <c r="H51" i="2"/>
  <c r="O50" i="2"/>
  <c r="J50" i="2"/>
  <c r="C50" i="2"/>
  <c r="J49" i="2"/>
  <c r="I49" i="2"/>
  <c r="O49" i="2" s="1"/>
  <c r="H49" i="2"/>
  <c r="N49" i="2" s="1"/>
  <c r="D49" i="2"/>
  <c r="O48" i="2"/>
  <c r="J48" i="2"/>
  <c r="H48" i="2"/>
  <c r="N48" i="2" s="1"/>
  <c r="N47" i="2"/>
  <c r="J47" i="2"/>
  <c r="I47" i="2"/>
  <c r="O47" i="2" s="1"/>
  <c r="N46" i="2"/>
  <c r="J46" i="2"/>
  <c r="I46" i="2"/>
  <c r="O46" i="2" s="1"/>
  <c r="O45" i="2"/>
  <c r="J45" i="2"/>
  <c r="H45" i="2"/>
  <c r="N45" i="2" s="1"/>
  <c r="O44" i="2"/>
  <c r="N44" i="2"/>
  <c r="J44" i="2"/>
  <c r="O43" i="2"/>
  <c r="N43" i="2"/>
  <c r="J43" i="2"/>
  <c r="O42" i="2"/>
  <c r="N42" i="2"/>
  <c r="J42" i="2"/>
  <c r="O41" i="2"/>
  <c r="J41" i="2"/>
  <c r="H41" i="2"/>
  <c r="N41" i="2" s="1"/>
  <c r="O40" i="2"/>
  <c r="N40" i="2"/>
  <c r="J40" i="2"/>
  <c r="O39" i="2"/>
  <c r="N39" i="2"/>
  <c r="J39" i="2"/>
  <c r="O38" i="2"/>
  <c r="N38" i="2"/>
  <c r="J38" i="2"/>
  <c r="O37" i="2"/>
  <c r="N37" i="2"/>
  <c r="J37" i="2"/>
  <c r="O36" i="2"/>
  <c r="J36" i="2"/>
  <c r="H36" i="2"/>
  <c r="N36" i="2" s="1"/>
  <c r="O35" i="2"/>
  <c r="N35" i="2"/>
  <c r="J35" i="2"/>
  <c r="K34" i="2"/>
  <c r="J34" i="2" s="1"/>
  <c r="I34" i="2"/>
  <c r="O34" i="2" s="1"/>
  <c r="J33" i="2"/>
  <c r="I33" i="2"/>
  <c r="O33" i="2" s="1"/>
  <c r="H33" i="2"/>
  <c r="N33" i="2" s="1"/>
  <c r="O32" i="2"/>
  <c r="J32" i="2"/>
  <c r="H32" i="2"/>
  <c r="D32" i="2"/>
  <c r="O31" i="2"/>
  <c r="N31" i="2"/>
  <c r="G31" i="2"/>
  <c r="O30" i="2"/>
  <c r="H30" i="2"/>
  <c r="G30" i="2" s="1"/>
  <c r="I29" i="2"/>
  <c r="G29" i="2" s="1"/>
  <c r="P29" i="2" s="1"/>
  <c r="I28" i="2"/>
  <c r="O28" i="2" s="1"/>
  <c r="N27" i="2"/>
  <c r="I27" i="2"/>
  <c r="O27" i="2" s="1"/>
  <c r="K26" i="2"/>
  <c r="J26" i="2" s="1"/>
  <c r="I26" i="2"/>
  <c r="O26" i="2" s="1"/>
  <c r="N25" i="2"/>
  <c r="J25" i="2"/>
  <c r="I25" i="2"/>
  <c r="O25" i="2" s="1"/>
  <c r="P19" i="2"/>
  <c r="O19" i="2"/>
  <c r="H19" i="2"/>
  <c r="N19" i="2" s="1"/>
  <c r="P18" i="2"/>
  <c r="O18" i="2"/>
  <c r="K18" i="2"/>
  <c r="H18" i="2"/>
  <c r="P17" i="2"/>
  <c r="O17" i="2"/>
  <c r="K17" i="2"/>
  <c r="H17" i="2"/>
  <c r="P16" i="2"/>
  <c r="O16" i="2"/>
  <c r="K16" i="2"/>
  <c r="H16" i="2"/>
  <c r="L15" i="2"/>
  <c r="L14" i="2" s="1"/>
  <c r="I15" i="2"/>
  <c r="D14" i="2"/>
  <c r="C14" i="2"/>
  <c r="O11" i="2"/>
  <c r="G11" i="2"/>
  <c r="O10" i="2"/>
  <c r="N10" i="2"/>
  <c r="G10" i="2"/>
  <c r="L9" i="2"/>
  <c r="K9" i="2"/>
  <c r="J9" i="2"/>
  <c r="I9" i="2"/>
  <c r="H9" i="2"/>
  <c r="D9" i="2"/>
  <c r="F8" i="2"/>
  <c r="F7" i="2" s="1"/>
  <c r="E8" i="2"/>
  <c r="E7" i="2" s="1"/>
  <c r="M38" i="1"/>
  <c r="J38" i="1" s="1"/>
  <c r="E38" i="1"/>
  <c r="AH38" i="1" s="1"/>
  <c r="M37" i="1"/>
  <c r="J37" i="1" s="1"/>
  <c r="E37" i="1"/>
  <c r="AH37" i="1" s="1"/>
  <c r="N36" i="1"/>
  <c r="L36" i="1"/>
  <c r="K36" i="1"/>
  <c r="I36" i="1"/>
  <c r="H36" i="1"/>
  <c r="G36" i="1"/>
  <c r="F36" i="1"/>
  <c r="D36" i="1"/>
  <c r="C36" i="1"/>
  <c r="J34" i="1"/>
  <c r="AI34" i="1" s="1"/>
  <c r="E34" i="1"/>
  <c r="AH34" i="1" s="1"/>
  <c r="N32" i="1"/>
  <c r="M32" i="1"/>
  <c r="J31" i="1"/>
  <c r="AI31" i="1" s="1"/>
  <c r="H31" i="1"/>
  <c r="AI30" i="1"/>
  <c r="G30" i="1"/>
  <c r="J29" i="1"/>
  <c r="AI29" i="1" s="1"/>
  <c r="I29" i="1"/>
  <c r="M28" i="1"/>
  <c r="M26" i="1" s="1"/>
  <c r="J27" i="1"/>
  <c r="AI27" i="1" s="1"/>
  <c r="N26" i="1"/>
  <c r="L26" i="1"/>
  <c r="K26" i="1"/>
  <c r="I26" i="1"/>
  <c r="H26" i="1"/>
  <c r="J24" i="1"/>
  <c r="I24" i="1"/>
  <c r="I22" i="1" s="1"/>
  <c r="H22" i="1"/>
  <c r="E23" i="1"/>
  <c r="N22" i="1"/>
  <c r="M22" i="1"/>
  <c r="L22" i="1"/>
  <c r="K22" i="1"/>
  <c r="F22" i="1"/>
  <c r="J21" i="1"/>
  <c r="AI21" i="1" s="1"/>
  <c r="H19" i="1"/>
  <c r="J20" i="1"/>
  <c r="N19" i="1"/>
  <c r="M19" i="1"/>
  <c r="L19" i="1"/>
  <c r="K19" i="1"/>
  <c r="I19" i="1"/>
  <c r="G19" i="1"/>
  <c r="J18" i="1"/>
  <c r="AI18" i="1" s="1"/>
  <c r="J17" i="1"/>
  <c r="AI17" i="1" s="1"/>
  <c r="J16" i="1"/>
  <c r="AI16" i="1" s="1"/>
  <c r="J15" i="1"/>
  <c r="AI15" i="1" s="1"/>
  <c r="N14" i="1"/>
  <c r="N12" i="1" s="1"/>
  <c r="M14" i="1"/>
  <c r="E14" i="1"/>
  <c r="AH14" i="1" s="1"/>
  <c r="H13" i="1"/>
  <c r="M13" i="1" s="1"/>
  <c r="L12" i="1"/>
  <c r="K12" i="1"/>
  <c r="I12" i="1"/>
  <c r="G12" i="1"/>
  <c r="F12" i="1"/>
  <c r="D9" i="1"/>
  <c r="D8" i="1" s="1"/>
  <c r="C9" i="1"/>
  <c r="C8" i="1" s="1"/>
  <c r="J28" i="1" l="1"/>
  <c r="AI28" i="1" s="1"/>
  <c r="K15" i="2"/>
  <c r="J15" i="2" s="1"/>
  <c r="J14" i="2" s="1"/>
  <c r="J8" i="2" s="1"/>
  <c r="J7" i="2" s="1"/>
  <c r="C12" i="8"/>
  <c r="N9" i="2"/>
  <c r="M28" i="2"/>
  <c r="N51" i="2"/>
  <c r="M11" i="2"/>
  <c r="H54" i="2"/>
  <c r="N54" i="2" s="1"/>
  <c r="N52" i="2"/>
  <c r="E36" i="1"/>
  <c r="AP11" i="1"/>
  <c r="AO1" i="1"/>
  <c r="AP10" i="1"/>
  <c r="E19" i="1"/>
  <c r="AH19" i="1" s="1"/>
  <c r="AH20" i="1"/>
  <c r="J19" i="1"/>
  <c r="AI19" i="1" s="1"/>
  <c r="AI20" i="1"/>
  <c r="M31" i="2"/>
  <c r="J23" i="1"/>
  <c r="AI24" i="1"/>
  <c r="E22" i="1"/>
  <c r="AH22" i="1" s="1"/>
  <c r="AH23" i="1"/>
  <c r="M38" i="2"/>
  <c r="M42" i="2"/>
  <c r="D4" i="7"/>
  <c r="D9" i="7" s="1"/>
  <c r="D4" i="4"/>
  <c r="D18" i="4" s="1"/>
  <c r="L8" i="2"/>
  <c r="L7" i="2" s="1"/>
  <c r="D4" i="3"/>
  <c r="D11" i="3" s="1"/>
  <c r="N17" i="2"/>
  <c r="O36" i="1"/>
  <c r="O8" i="1" s="1"/>
  <c r="K9" i="1"/>
  <c r="K8" i="1" s="1"/>
  <c r="AI38" i="1"/>
  <c r="G9" i="1"/>
  <c r="G8" i="1" s="1"/>
  <c r="N9" i="1"/>
  <c r="N8" i="1" s="1"/>
  <c r="L9" i="1"/>
  <c r="L8" i="1" s="1"/>
  <c r="M36" i="2"/>
  <c r="M41" i="2"/>
  <c r="H12" i="1"/>
  <c r="H9" i="1" s="1"/>
  <c r="H8" i="1" s="1"/>
  <c r="D8" i="2"/>
  <c r="G33" i="2"/>
  <c r="P33" i="2" s="1"/>
  <c r="H34" i="2"/>
  <c r="G34" i="2" s="1"/>
  <c r="P34" i="2" s="1"/>
  <c r="M40" i="2"/>
  <c r="M43" i="2"/>
  <c r="M44" i="2"/>
  <c r="M48" i="2"/>
  <c r="AI37" i="1"/>
  <c r="D7" i="8"/>
  <c r="F7" i="8" s="1"/>
  <c r="F9" i="1"/>
  <c r="F8" i="1" s="1"/>
  <c r="I9" i="1"/>
  <c r="I8" i="1" s="1"/>
  <c r="E13" i="1"/>
  <c r="AH13" i="1" s="1"/>
  <c r="J26" i="1"/>
  <c r="AI26" i="1" s="1"/>
  <c r="G9" i="2"/>
  <c r="Q9" i="2" s="1"/>
  <c r="M10" i="2"/>
  <c r="C8" i="2"/>
  <c r="C7" i="2" s="1"/>
  <c r="M39" i="2"/>
  <c r="M25" i="2"/>
  <c r="O29" i="2"/>
  <c r="G27" i="2"/>
  <c r="P27" i="2" s="1"/>
  <c r="O9" i="2"/>
  <c r="M19" i="2"/>
  <c r="M35" i="2"/>
  <c r="M46" i="2"/>
  <c r="I14" i="2"/>
  <c r="I8" i="2" s="1"/>
  <c r="I7" i="2" s="1"/>
  <c r="G26" i="2"/>
  <c r="P26" i="2" s="1"/>
  <c r="M37" i="2"/>
  <c r="M45" i="2"/>
  <c r="M32" i="2"/>
  <c r="G32" i="2"/>
  <c r="P32" i="2" s="1"/>
  <c r="N18" i="2"/>
  <c r="O15" i="2"/>
  <c r="M27" i="2"/>
  <c r="M33" i="2"/>
  <c r="M47" i="2"/>
  <c r="H15" i="2"/>
  <c r="G25" i="2"/>
  <c r="P25" i="2" s="1"/>
  <c r="G46" i="2"/>
  <c r="P46" i="2" s="1"/>
  <c r="G47" i="2"/>
  <c r="P47" i="2" s="1"/>
  <c r="M49" i="2"/>
  <c r="J14" i="1"/>
  <c r="AI14" i="1" s="1"/>
  <c r="M36" i="1"/>
  <c r="N16" i="2"/>
  <c r="N26" i="2"/>
  <c r="N30" i="2"/>
  <c r="N34" i="2"/>
  <c r="H50" i="2"/>
  <c r="G28" i="2"/>
  <c r="P28" i="2" s="1"/>
  <c r="G45" i="2"/>
  <c r="G48" i="2"/>
  <c r="P48" i="2" s="1"/>
  <c r="G49" i="2"/>
  <c r="G51" i="2"/>
  <c r="G52" i="2"/>
  <c r="M12" i="1"/>
  <c r="J13" i="1"/>
  <c r="AI13" i="1" s="1"/>
  <c r="J36" i="1"/>
  <c r="M31" i="1"/>
  <c r="K14" i="2" l="1"/>
  <c r="K8" i="2" s="1"/>
  <c r="K7" i="2" s="1"/>
  <c r="G54" i="2"/>
  <c r="Q54" i="2" s="1"/>
  <c r="P9" i="2"/>
  <c r="M9" i="2"/>
  <c r="H14" i="2"/>
  <c r="H8" i="2" s="1"/>
  <c r="H7" i="2" s="1"/>
  <c r="M51" i="2"/>
  <c r="AI23" i="1"/>
  <c r="J22" i="1"/>
  <c r="AI22" i="1" s="1"/>
  <c r="D7" i="2"/>
  <c r="AE4" i="2"/>
  <c r="AH36" i="1"/>
  <c r="M29" i="2"/>
  <c r="M17" i="2"/>
  <c r="N50" i="2"/>
  <c r="AI36" i="1"/>
  <c r="E12" i="1"/>
  <c r="AH12" i="1" s="1"/>
  <c r="M30" i="2"/>
  <c r="O14" i="2"/>
  <c r="M52" i="2"/>
  <c r="M34" i="2"/>
  <c r="M26" i="2"/>
  <c r="M54" i="2"/>
  <c r="Q32" i="2"/>
  <c r="G15" i="2"/>
  <c r="G14" i="2" s="1"/>
  <c r="M18" i="2"/>
  <c r="P51" i="2"/>
  <c r="G50" i="2"/>
  <c r="Q51" i="2"/>
  <c r="Q49" i="2"/>
  <c r="P49" i="2"/>
  <c r="M16" i="2"/>
  <c r="N15" i="2"/>
  <c r="J12" i="1"/>
  <c r="AI12" i="1" s="1"/>
  <c r="M9" i="1"/>
  <c r="M8" i="1" s="1"/>
  <c r="AE32" i="2" l="1"/>
  <c r="AD6" i="2"/>
  <c r="AD15" i="2"/>
  <c r="AD2" i="2"/>
  <c r="AD9" i="2"/>
  <c r="M50" i="2"/>
  <c r="C6" i="8"/>
  <c r="E9" i="1"/>
  <c r="O8" i="2"/>
  <c r="P15" i="2"/>
  <c r="N14" i="2"/>
  <c r="M15" i="2"/>
  <c r="M14" i="2" s="1"/>
  <c r="G8" i="2"/>
  <c r="P14" i="2"/>
  <c r="Q14" i="2"/>
  <c r="J9" i="1"/>
  <c r="D6" i="8" l="1"/>
  <c r="F6" i="8" s="1"/>
  <c r="E6" i="8"/>
  <c r="AO22" i="1"/>
  <c r="AP19" i="1"/>
  <c r="AP22" i="1" s="1"/>
  <c r="AO2" i="1"/>
  <c r="AO3" i="1" s="1"/>
  <c r="AO19" i="1"/>
  <c r="AH9" i="1"/>
  <c r="C5" i="8" s="1"/>
  <c r="E5" i="8" s="1"/>
  <c r="AI9" i="1"/>
  <c r="D5" i="8" s="1"/>
  <c r="F5" i="8" s="1"/>
  <c r="O7" i="2"/>
  <c r="M8" i="2"/>
  <c r="AF29" i="2" s="1"/>
  <c r="E8" i="1"/>
  <c r="N8" i="2"/>
  <c r="Q8" i="2"/>
  <c r="P8" i="2"/>
  <c r="G7" i="2"/>
  <c r="J8" i="1"/>
  <c r="F13" i="8" l="1"/>
  <c r="AO5" i="1"/>
  <c r="AO6" i="1"/>
  <c r="AE34" i="2"/>
  <c r="AD7" i="2"/>
  <c r="N7" i="2"/>
  <c r="AE28" i="2"/>
  <c r="AI8" i="1"/>
  <c r="D4" i="8" s="1"/>
  <c r="F4" i="8" s="1"/>
  <c r="AH8" i="1"/>
  <c r="C4" i="8" s="1"/>
  <c r="E4" i="8" s="1"/>
  <c r="M7" i="2"/>
  <c r="AE2" i="2"/>
  <c r="AD29" i="2"/>
  <c r="E12" i="8"/>
  <c r="F12" i="8" s="1"/>
  <c r="Q7" i="2"/>
  <c r="P7" i="2"/>
  <c r="B13" i="8" l="1"/>
  <c r="D13" i="8"/>
  <c r="D12" i="8"/>
  <c r="AE6" i="2"/>
  <c r="AD28" i="2"/>
  <c r="A12" i="8"/>
  <c r="B12" i="8" s="1"/>
  <c r="AA38" i="2"/>
  <c r="Z38" i="2" s="1"/>
  <c r="X38" i="2" s="1"/>
  <c r="AJ24" i="22" l="1"/>
  <c r="AJ43" i="10" l="1"/>
  <c r="AJ51" i="10" l="1"/>
  <c r="AJ25" i="22" l="1"/>
  <c r="E10" i="21" l="1"/>
  <c r="AJ27" i="22"/>
  <c r="AM27" i="22"/>
  <c r="AH50" i="10" l="1"/>
  <c r="AH51" i="10" s="1"/>
  <c r="AH53" i="10" s="1"/>
  <c r="AO1" i="22"/>
  <c r="AJ3" i="22"/>
  <c r="D15" i="19"/>
  <c r="D8" i="19" l="1"/>
  <c r="I11" i="19"/>
</calcChain>
</file>

<file path=xl/comments1.xml><?xml version="1.0" encoding="utf-8"?>
<comments xmlns="http://schemas.openxmlformats.org/spreadsheetml/2006/main">
  <authors>
    <author>tc={EB3EF2CB-3FF5-41E8-9238-8920FAB29526}</author>
    <author>tc={6AC122DE-2360-4E79-B37D-194697BCD47A}</author>
    <author>Admin</author>
  </authors>
  <commentList>
    <comment ref="B32" authorId="0" shapeId="0">
      <text>
        <r>
          <rPr>
            <sz val="12"/>
            <color theme="1"/>
            <rFont val="Times New Roman"/>
            <family val="2"/>
          </rPr>
          <t>[Threaded comment]
Your version of Excel allows you to read this threaded comment; however, any edits to it will get removed if the file is opened in a newer version of Excel. Learn more: https://go.microsoft.com/fwlink/?linkid=870924
Comment:
    thu tiền cho thuê đất, thuê mặt nước</t>
        </r>
      </text>
    </comment>
    <comment ref="B34" authorId="1" shapeId="0">
      <text>
        <r>
          <rPr>
            <sz val="12"/>
            <color theme="1"/>
            <rFont val="Times New Roman"/>
            <family val="2"/>
          </rPr>
          <t>[Threaded comment]
Your version of Excel allows you to read this threaded comment; however, any edits to it will get removed if the file is opened in a newer version of Excel. Learn more: https://go.microsoft.com/fwlink/?linkid=870924
Comment:
    thu khác NS</t>
        </r>
      </text>
    </comment>
    <comment ref="B35" authorId="2" shapeId="0">
      <text>
        <r>
          <rPr>
            <sz val="11"/>
            <color indexed="81"/>
            <rFont val="Times New Roman"/>
            <family val="1"/>
          </rPr>
          <t>Thu từ quỹ đất công ích và thu hoa lợi công sản khác</t>
        </r>
      </text>
    </comment>
    <comment ref="B40" authorId="2" shapeId="0">
      <text>
        <r>
          <rPr>
            <b/>
            <sz val="9"/>
            <color indexed="81"/>
            <rFont val="Tahoma"/>
            <family val="2"/>
          </rPr>
          <t>Admin:</t>
        </r>
        <r>
          <rPr>
            <sz val="9"/>
            <color indexed="81"/>
            <rFont val="Tahoma"/>
            <family val="2"/>
          </rPr>
          <t xml:space="preserve">
mục V</t>
        </r>
      </text>
    </comment>
  </commentList>
</comments>
</file>

<file path=xl/comments2.xml><?xml version="1.0" encoding="utf-8"?>
<comments xmlns="http://schemas.openxmlformats.org/spreadsheetml/2006/main">
  <authors>
    <author>Admin</author>
  </authors>
  <commentList>
    <comment ref="B14" authorId="0" shapeId="0">
      <text>
        <r>
          <rPr>
            <sz val="9"/>
            <color indexed="81"/>
            <rFont val="Tahoma"/>
            <family val="2"/>
          </rPr>
          <t>Mục 11: Chi hđ các cơ quan quản lý….</t>
        </r>
      </text>
    </comment>
    <comment ref="B27" authorId="0" shapeId="0">
      <text>
        <r>
          <rPr>
            <b/>
            <sz val="9"/>
            <color indexed="81"/>
            <rFont val="Tahoma"/>
            <family val="2"/>
          </rPr>
          <t>Admin:</t>
        </r>
        <r>
          <rPr>
            <sz val="9"/>
            <color indexed="81"/>
            <rFont val="Tahoma"/>
            <family val="2"/>
          </rPr>
          <t xml:space="preserve">
STT 13 và VIII</t>
        </r>
      </text>
    </comment>
  </commentList>
</comments>
</file>

<file path=xl/comments3.xml><?xml version="1.0" encoding="utf-8"?>
<comments xmlns="http://schemas.openxmlformats.org/spreadsheetml/2006/main">
  <authors>
    <author>Admin</author>
  </authors>
  <commentList>
    <comment ref="B15" authorId="0" shapeId="0">
      <text>
        <r>
          <rPr>
            <sz val="9"/>
            <color indexed="81"/>
            <rFont val="Tahoma"/>
            <family val="2"/>
          </rPr>
          <t>Mục 11: Chi hđ các cơ quan quản lý….</t>
        </r>
      </text>
    </comment>
    <comment ref="B47" authorId="0" shapeId="0">
      <text>
        <r>
          <rPr>
            <b/>
            <sz val="9"/>
            <color indexed="81"/>
            <rFont val="Tahoma"/>
            <family val="2"/>
          </rPr>
          <t>Admin:</t>
        </r>
        <r>
          <rPr>
            <sz val="9"/>
            <color indexed="81"/>
            <rFont val="Tahoma"/>
            <family val="2"/>
          </rPr>
          <t xml:space="preserve">
STT 13 và VIII</t>
        </r>
      </text>
    </comment>
  </commentList>
</comments>
</file>

<file path=xl/comments4.xml><?xml version="1.0" encoding="utf-8"?>
<comments xmlns="http://schemas.openxmlformats.org/spreadsheetml/2006/main">
  <authors>
    <author>Admin</author>
  </authors>
  <commentList>
    <comment ref="B15" authorId="0" shapeId="0">
      <text>
        <r>
          <rPr>
            <sz val="9"/>
            <rFont val="Tahoma"/>
            <family val="2"/>
          </rPr>
          <t>Mục 11: Chi hđ các cơ quan quản lý….</t>
        </r>
      </text>
    </comment>
    <comment ref="B47" authorId="0" shapeId="0">
      <text>
        <r>
          <rPr>
            <b/>
            <sz val="9"/>
            <rFont val="Tahoma"/>
            <family val="2"/>
          </rPr>
          <t>Admin:</t>
        </r>
        <r>
          <rPr>
            <sz val="9"/>
            <rFont val="Tahoma"/>
            <family val="2"/>
          </rPr>
          <t xml:space="preserve">
STT 13 và VIII</t>
        </r>
      </text>
    </comment>
  </commentList>
</comments>
</file>

<file path=xl/comments5.xml><?xml version="1.0" encoding="utf-8"?>
<comments xmlns="http://schemas.openxmlformats.org/spreadsheetml/2006/main">
  <authors>
    <author>tc={EB3EF2CB-3FF5-41E8-9238-8920FAB29526}</author>
    <author>tc={6AC122DE-2360-4E79-B37D-194697BCD47A}</author>
    <author>Admin</author>
  </authors>
  <commentList>
    <comment ref="B31" authorId="0" shapeId="0">
      <text>
        <r>
          <rPr>
            <sz val="12"/>
            <color theme="1"/>
            <rFont val="Times New Roman"/>
            <family val="2"/>
          </rPr>
          <t>[Threaded comment]
Your version of Excel allows you to read this threaded comment; however, any edits to it will get removed if the file is opened in a newer version of Excel. Learn more: https://go.microsoft.com/fwlink/?linkid=870924
Comment:
    thu tiền cho thuê đất, thuê mặt nước</t>
        </r>
      </text>
    </comment>
    <comment ref="B33" authorId="1" shapeId="0">
      <text>
        <r>
          <rPr>
            <sz val="12"/>
            <color theme="1"/>
            <rFont val="Times New Roman"/>
            <family val="2"/>
          </rPr>
          <t>[Threaded comment]
Your version of Excel allows you to read this threaded comment; however, any edits to it will get removed if the file is opened in a newer version of Excel. Learn more: https://go.microsoft.com/fwlink/?linkid=870924
Comment:
    thu khác NS</t>
        </r>
      </text>
    </comment>
    <comment ref="B34" authorId="2" shapeId="0">
      <text>
        <r>
          <rPr>
            <sz val="11"/>
            <color indexed="81"/>
            <rFont val="Times New Roman"/>
            <family val="1"/>
          </rPr>
          <t>Thu từ quỹ đất công ích và thu hoa lợi công sản khác</t>
        </r>
      </text>
    </comment>
    <comment ref="B35" authorId="2" shapeId="0">
      <text>
        <r>
          <rPr>
            <b/>
            <sz val="9"/>
            <color indexed="81"/>
            <rFont val="Tahoma"/>
            <family val="2"/>
          </rPr>
          <t>Admin:</t>
        </r>
        <r>
          <rPr>
            <sz val="9"/>
            <color indexed="81"/>
            <rFont val="Tahoma"/>
            <family val="2"/>
          </rPr>
          <t xml:space="preserve">
mục V</t>
        </r>
      </text>
    </comment>
  </commentList>
</comments>
</file>

<file path=xl/sharedStrings.xml><?xml version="1.0" encoding="utf-8"?>
<sst xmlns="http://schemas.openxmlformats.org/spreadsheetml/2006/main" count="1393" uniqueCount="602">
  <si>
    <t>Đơn vị: triệu đồng</t>
  </si>
  <si>
    <t>STT</t>
  </si>
  <si>
    <t>Nội dung</t>
  </si>
  <si>
    <t>DT 2021</t>
  </si>
  <si>
    <t>Ước Thực hiện 2021</t>
  </si>
  <si>
    <t>Dự toán tỉnh giao 2022</t>
  </si>
  <si>
    <t>Dự toán huyện giao 2022</t>
  </si>
  <si>
    <t>Tổng số</t>
  </si>
  <si>
    <t>NSTW</t>
  </si>
  <si>
    <t>NST</t>
  </si>
  <si>
    <t>NSH</t>
  </si>
  <si>
    <t>NSX</t>
  </si>
  <si>
    <t>Tổng thu NSNN</t>
  </si>
  <si>
    <t>I</t>
  </si>
  <si>
    <t>Thu NSNN trên địa bàn</t>
  </si>
  <si>
    <t>Thu ngoài quốc doanh</t>
  </si>
  <si>
    <t>a</t>
  </si>
  <si>
    <t>Thu NQD do Cục Thuế thu</t>
  </si>
  <si>
    <t>b</t>
  </si>
  <si>
    <t>Thu NQD do Chi cục Thuế KV VY-HH thu</t>
  </si>
  <si>
    <t>Thuế GTGT</t>
  </si>
  <si>
    <t>Thuế TNDN</t>
  </si>
  <si>
    <t>Thuế TTĐB</t>
  </si>
  <si>
    <t>Thuế tài nguyên</t>
  </si>
  <si>
    <t>Thuế TNCN</t>
  </si>
  <si>
    <t>Thuế TNCN từ SXKD</t>
  </si>
  <si>
    <t>Thuế TNCN từ chuyển nhượng bất động sản</t>
  </si>
  <si>
    <t>Lệ phí trước bạ</t>
  </si>
  <si>
    <t>Lệ phí trước bạ ô tô, xe máy</t>
  </si>
  <si>
    <t>Lệ phí trước bạ nhà đất</t>
  </si>
  <si>
    <t>Phí, lệ phí</t>
  </si>
  <si>
    <t>Lệ phí môn bài</t>
  </si>
  <si>
    <t>Lệ phí khác</t>
  </si>
  <si>
    <t>Thuế sử dụng đất phi nông nghiệp</t>
  </si>
  <si>
    <t>Thu tiền sử dụng đất</t>
  </si>
  <si>
    <t>Thu tiền thuê đất</t>
  </si>
  <si>
    <t>Thu cấp quyền khai thác khoáng sản</t>
  </si>
  <si>
    <t>Thu biện pháp tài chính</t>
  </si>
  <si>
    <t>Thu tại xã</t>
  </si>
  <si>
    <t>II</t>
  </si>
  <si>
    <t>Thu bổ sung từ NS cấp trên</t>
  </si>
  <si>
    <t>Bổ sung cân đối</t>
  </si>
  <si>
    <t>Bổ sung có mục tiêu</t>
  </si>
  <si>
    <t>ƯỚc thực hiện 2021</t>
  </si>
  <si>
    <t>Dự toán huyện giao</t>
  </si>
  <si>
    <t>Tiết kiệm 10% chi thường xuyên)</t>
  </si>
  <si>
    <t>So sánh</t>
  </si>
  <si>
    <t xml:space="preserve">Tổng số </t>
  </si>
  <si>
    <t>ƯTH 2021</t>
  </si>
  <si>
    <t>DT tỉnh</t>
  </si>
  <si>
    <t>TỔNG SỐ</t>
  </si>
  <si>
    <t>A</t>
  </si>
  <si>
    <t>Chi cân đối ngân sách</t>
  </si>
  <si>
    <t>Chi từ nguồn thu tiền sử dụng đất</t>
  </si>
  <si>
    <t>Chi phí đấu giá, phí thẩm định giá quyền sử dụng đất</t>
  </si>
  <si>
    <t>Chi thường xuyên</t>
  </si>
  <si>
    <t>Chi quản lý hành chính</t>
  </si>
  <si>
    <t>1.1</t>
  </si>
  <si>
    <t>Quản lý nhà nước</t>
  </si>
  <si>
    <t>1.2</t>
  </si>
  <si>
    <t>Đảng</t>
  </si>
  <si>
    <t>1.3</t>
  </si>
  <si>
    <t>Đoàn thể</t>
  </si>
  <si>
    <t>1.4</t>
  </si>
  <si>
    <t>Hội đặc thù</t>
  </si>
  <si>
    <t>Quốc phòng</t>
  </si>
  <si>
    <t>An ninh</t>
  </si>
  <si>
    <t>Sự nghiệp văn hóa</t>
  </si>
  <si>
    <t>Sự nghiệp phát thanh</t>
  </si>
  <si>
    <t>Sự nghiệp thể dục thể thao</t>
  </si>
  <si>
    <t>Sự nghiệp y tế</t>
  </si>
  <si>
    <t>Trong đó: Kinh phí phòng chống dịch</t>
  </si>
  <si>
    <t>Đảm bảo xã hội</t>
  </si>
  <si>
    <t>Sự nghiệp kinh tế</t>
  </si>
  <si>
    <t>Gồm:</t>
  </si>
  <si>
    <t>- Sự nghiệp nông nghiệp</t>
  </si>
  <si>
    <t>Trong đó: kinh phí chi lương, chi hoạt động Trung tâm Dịch vụ kỹ thuật nông nghiệp</t>
  </si>
  <si>
    <t>- Sự nghiệp lâm nghiệp</t>
  </si>
  <si>
    <t>c</t>
  </si>
  <si>
    <t>- Sự nghiệp thủy lợi</t>
  </si>
  <si>
    <t>d</t>
  </si>
  <si>
    <t>- Kinh phí xây dựng nông thôn mới (hỗ trợ thôn kiểu mẫu)</t>
  </si>
  <si>
    <t>e</t>
  </si>
  <si>
    <t>- Sự nghiệp kiến thiết thị chính (tiền điện thắp sáng các tuyến đường 3.500 trđ;kinh phí đô thị 17.000 trđ)</t>
  </si>
  <si>
    <t>f</t>
  </si>
  <si>
    <t>- Kinh phí chi lương; chi hoạt động Đội Trật tự GTXDMT</t>
  </si>
  <si>
    <t>g</t>
  </si>
  <si>
    <t>- Kinh phí chi lương Trung tâm Phát triển quỹ đất và cụm công nghiệp</t>
  </si>
  <si>
    <t>h</t>
  </si>
  <si>
    <t>- Kinh phí dịch vụ công ích thủy lợi</t>
  </si>
  <si>
    <t>Kinh phí thực hiện nhiệm vụ mới</t>
  </si>
  <si>
    <t>Chi khác</t>
  </si>
  <si>
    <t>III</t>
  </si>
  <si>
    <t>Dự phòng ngân sách</t>
  </si>
  <si>
    <t>IV</t>
  </si>
  <si>
    <t>Chi bổ sung cho ngân sách cấp dưới</t>
  </si>
  <si>
    <t>Bổ sung cân đối ngân sách</t>
  </si>
  <si>
    <t>B</t>
  </si>
  <si>
    <t>Chi từ nguồn bổ sung có mục tiêu</t>
  </si>
  <si>
    <t>KẾT QUẢ THỰC HIỆN DỰ TOÁN THU NGÂN SÁCH HUYỆN NĂM 2022</t>
  </si>
  <si>
    <t>Thu từ khu vực doanh
 nghiệp do NN giữ vai trò chủ đạo</t>
  </si>
  <si>
    <t>Thu từ khu vực doanh 
nghiệp có vốn đầu tư nước ngoài</t>
  </si>
  <si>
    <t>Thuế bảo vệ môi trường do cơ quan thuế thực hiện</t>
  </si>
  <si>
    <t>BÁO CÁO CHI TIẾT NGUỒN DỰ PHÒNG</t>
  </si>
  <si>
    <t xml:space="preserve">Cơ quan, đơn vị </t>
  </si>
  <si>
    <t>Số tiền</t>
  </si>
  <si>
    <t>Công an huyện Việt Yên</t>
  </si>
  <si>
    <t>Mua sắm các phương tiện phòng 
cháy chữa cháy (Bơm Tohatsu V52, găng tay, ủng, mũ, đèn pin, cuộn vòi chữa cháy, lăng phun, bộ mặt nạ khí thở,…)</t>
  </si>
  <si>
    <t>126/QĐ-UBND
 ngày 25/01/2022</t>
  </si>
  <si>
    <t>Mua sắm hàng hóa phục vụ công tác phòng, chống dịch Covid-19 và công tác khám chữa bệnh Covid-19 tại cơ sở thu dung điều trị (số 2)</t>
  </si>
  <si>
    <t>50/QĐ-UBND ngày 17/01/2022</t>
  </si>
  <si>
    <t>Ban Chỉ huy Quân sự</t>
  </si>
  <si>
    <t>51/QĐ-UBND ngày 17/01/2022</t>
  </si>
  <si>
    <t>Phòng chống dịch Covid-19 (thuê nhà nghỉ khung cách ly, đưa đón công nhân, mua sắm cơ sở vật chất hậu cần cơ sở 1,2…)</t>
  </si>
  <si>
    <t>Dự toán</t>
  </si>
  <si>
    <t>Còn lại</t>
  </si>
  <si>
    <t>Thực hiện</t>
  </si>
  <si>
    <t>Số QĐ, 
ngày ban hành</t>
  </si>
  <si>
    <t>BÁO CÁO CHI TIẾT NGUỒN CHI KHÁC</t>
  </si>
  <si>
    <t>Kinh phí để di chuyển, sửa chữa, cải tạo trụ sở làm việc</t>
  </si>
  <si>
    <t>Kinh phí thực hiện mua bàn ghế và văn bản pháp luật cho Đoàn Hội thẩm nhân dân</t>
  </si>
  <si>
    <t>Kinh phí địa phương tặng quà động viên quân nhân hoàn thành nghĩa vụ quân sự xuất ngũ trở về địa phương</t>
  </si>
  <si>
    <t>In ấn tờ rơi tuyên truyền, phô tô bản cam kết đảm bảo về PCCC và CNCH</t>
  </si>
  <si>
    <t>Hoạt động chuyên môn và mua sắm tài sản</t>
  </si>
  <si>
    <t>Thi hành án</t>
  </si>
  <si>
    <t>Tòa án nhân dân</t>
  </si>
  <si>
    <t>Ban Chỉ huy quân sự</t>
  </si>
  <si>
    <t>Công an huyện</t>
  </si>
  <si>
    <t>Viện kiểm sát</t>
  </si>
  <si>
    <t>47 ngày 16/01/2022</t>
  </si>
  <si>
    <t>48 ngày 16/01/2022</t>
  </si>
  <si>
    <t>49 ngày 16/01/2022</t>
  </si>
  <si>
    <t>125 ngày 25/01/2022</t>
  </si>
  <si>
    <t>127 ngày 25/01/2022</t>
  </si>
  <si>
    <t>BÁO CÁO CHI TIẾT NGUỒN PHÒNG CHỐNG DỊCH</t>
  </si>
  <si>
    <t>Phòng Nội vụ</t>
  </si>
  <si>
    <t>Tổ chức Lễ công bố Quyết định công nhận huyện Việt Yên đạt tiêu chí đô thị loại IV, Quyết định công nhận huyện Việt Yên đạt chuẩn nông thôn mới nâng cao, tổng kết công tác Đảng, chính quyền, Mặt trận Tổ quốc, đoàn thể và công tác thi đua khen thưởng năm 2021</t>
  </si>
  <si>
    <t>93 ngày 21/01/2022</t>
  </si>
  <si>
    <t>Trung tâm Y tế huyện 
Việt Yên</t>
  </si>
  <si>
    <t>Kinh phí mua sắm thiết bị, vật
 tư y tế, phương tiện bảo hộ phòng, chống dịch Covid-19 phục vụ cho cơ sở điều trị bệnh nhân Covid-19 và các Trạm y tế lưu động</t>
  </si>
  <si>
    <t>Trung tâm Y tế</t>
  </si>
  <si>
    <t>BÁO CÁO CHI TIẾT NGUỒN NHIỆM VỤ MỚI</t>
  </si>
  <si>
    <t>Văn phòng HĐND và 
UBND huyện</t>
  </si>
  <si>
    <t>Xe ô tô chuyên dùng</t>
  </si>
  <si>
    <t>Hội Cựu giáo chức</t>
  </si>
  <si>
    <t>Nhiệm vụ giao năm 2022</t>
  </si>
  <si>
    <t>239 ngày 15/02/2022</t>
  </si>
  <si>
    <t>In ấn tờ rơi những điều cần biết</t>
  </si>
  <si>
    <t>240 ngày 15/02/2022</t>
  </si>
  <si>
    <t>ĐVT: triệu đồng</t>
  </si>
  <si>
    <t>Thu trên địa bàn</t>
  </si>
  <si>
    <t>% DT tỉnh</t>
  </si>
  <si>
    <t>% DT huyện</t>
  </si>
  <si>
    <t>Thu NQD</t>
  </si>
  <si>
    <t>Thu tiền đất</t>
  </si>
  <si>
    <t>Tổng thu</t>
  </si>
  <si>
    <t xml:space="preserve">Tổng chi </t>
  </si>
  <si>
    <t>% dự toán</t>
  </si>
  <si>
    <t>Trong đó</t>
  </si>
  <si>
    <t>Dự phòng</t>
  </si>
  <si>
    <t>Chuyển nguồn</t>
  </si>
  <si>
    <t>Phòng Tài nguyên và Môi trường</t>
  </si>
  <si>
    <t>Dọn vệ sính</t>
  </si>
  <si>
    <t>Các khoản huy động đóng góp</t>
  </si>
  <si>
    <t>Kết quả thực hiện đến ngày 08.6.2022</t>
  </si>
  <si>
    <t>DT huyện</t>
  </si>
  <si>
    <t>Chi nộp ngân sách cấp trên</t>
  </si>
  <si>
    <t>Ngày 31/07/2022</t>
  </si>
  <si>
    <t>Chi</t>
  </si>
  <si>
    <t>H</t>
  </si>
  <si>
    <t>X</t>
  </si>
  <si>
    <t>Thu</t>
  </si>
  <si>
    <t>T</t>
  </si>
  <si>
    <t>TW</t>
  </si>
  <si>
    <t>13+VIII</t>
  </si>
  <si>
    <t>Thu từ khu vực doanh nghiệp do NN giữ vai trò chủ đạo</t>
  </si>
  <si>
    <t>Thu từ khu vực doanh nghiệp có vốn đầu tư nước ngoài</t>
  </si>
  <si>
    <t>Thu tiền cho thuê đất, thuê mặt nước</t>
  </si>
  <si>
    <t>Thu khác Ngân sách</t>
  </si>
  <si>
    <t>Thu từ quỹ đất công ích và thu hoa lợi công sản khác</t>
  </si>
  <si>
    <t>V</t>
  </si>
  <si>
    <t>Kết quả ước thực hiện năm 2022</t>
  </si>
  <si>
    <t>Dự toán tỉnh giao năm 2023</t>
  </si>
  <si>
    <t>So sánh số tuyệt đối</t>
  </si>
  <si>
    <t>DT tỉnh giao 2022</t>
  </si>
  <si>
    <t>ƯTH năm 2022</t>
  </si>
  <si>
    <t>DT tỉnh giao 2023 - DT tỉnh giao 2022
cao hơn (+), thấp hơn (-)</t>
  </si>
  <si>
    <t>Thu cân đối</t>
  </si>
  <si>
    <t>DT tỉnh giao 2023 - ƯTH năm 2022
cao hơn (+), thấp hơn (-)</t>
  </si>
  <si>
    <t>So sánh tương đối</t>
  </si>
  <si>
    <t>Dự toán 2022</t>
  </si>
  <si>
    <t>Chia ra</t>
  </si>
  <si>
    <t>HUYỆN VIỆT YÊN</t>
  </si>
  <si>
    <t>NSTW
+
NST</t>
  </si>
  <si>
    <t>Dự toán tỉnh giao năm 2022</t>
  </si>
  <si>
    <t>Dự toán huyện giao năm 2022</t>
  </si>
  <si>
    <t>Dự toán huyện giao năm 2023</t>
  </si>
  <si>
    <t>KP chuyển vốn sang NH chính sách XH</t>
  </si>
  <si>
    <t>-</t>
  </si>
  <si>
    <t>Đảng, đoàn thể</t>
  </si>
  <si>
    <t>Chi đặc thù</t>
  </si>
  <si>
    <t>Tổ chức Hội</t>
  </si>
  <si>
    <t>Sự nghiệp giáo dục, đào tạo</t>
  </si>
  <si>
    <t>Sự nghiệp môi trường</t>
  </si>
  <si>
    <t>Biểu số 02</t>
  </si>
  <si>
    <t>Biểu số 01</t>
  </si>
  <si>
    <t>DỰ TOÁN THU NSNN GIAO CHO CÁC XÃ, THỊ TRẤN NĂM 2023</t>
  </si>
  <si>
    <t>Tên đơn vị</t>
  </si>
  <si>
    <t>Thu cân đối NSX (không tính tiền sử dụng đất)</t>
  </si>
  <si>
    <t>Thuế TNCN từ chuyển nhượng</t>
  </si>
  <si>
    <t>Lệ phí môn bài (NSX 100%</t>
  </si>
  <si>
    <t>Phí khác (NSX 100%</t>
  </si>
  <si>
    <t>PNN (NSX 100%)</t>
  </si>
  <si>
    <t>Thu cấp quyền khai thác KS</t>
  </si>
  <si>
    <t>Điều tiết NSH</t>
  </si>
  <si>
    <t>Điều tiết NSX</t>
  </si>
  <si>
    <t>Thuế TTĐB (NSH)</t>
  </si>
  <si>
    <t>Thị trấn Bích Động</t>
  </si>
  <si>
    <t>Thị trấn Nếnh</t>
  </si>
  <si>
    <t>Xã Thượng Lan</t>
  </si>
  <si>
    <t>Xã Việt Tiến</t>
  </si>
  <si>
    <t>Xã Nghĩa Trung</t>
  </si>
  <si>
    <t>Xã Minh Đức</t>
  </si>
  <si>
    <t>Xã Hương mai</t>
  </si>
  <si>
    <t>Xã Tự Lạn</t>
  </si>
  <si>
    <t>Xã Trung Sơn</t>
  </si>
  <si>
    <t>Xã Hồng Thái</t>
  </si>
  <si>
    <t>Xã Tiên Sơn</t>
  </si>
  <si>
    <t>Xã Tăng Tiến</t>
  </si>
  <si>
    <t>Xã Quảng Minh</t>
  </si>
  <si>
    <t>Xã Ninh Sơn</t>
  </si>
  <si>
    <t>Xã Vân Trung</t>
  </si>
  <si>
    <t>Xã Vân Hà</t>
  </si>
  <si>
    <t>Xã Quang Châu</t>
  </si>
  <si>
    <t>Biểu số 03</t>
  </si>
  <si>
    <t>Sự nghiệp văn hoá</t>
  </si>
  <si>
    <t>SN phát thanh</t>
  </si>
  <si>
    <t>Chi sự nghiệp kinh tế</t>
  </si>
  <si>
    <t>Chi sự nghiệp môi trường</t>
  </si>
  <si>
    <t>Chi khác NS</t>
  </si>
  <si>
    <t>Biểu số 04</t>
  </si>
  <si>
    <t>ĐVT: trđ</t>
  </si>
  <si>
    <t>Đơn vị</t>
  </si>
  <si>
    <t>BC giao</t>
  </si>
  <si>
    <t>BC
 có mặt</t>
  </si>
  <si>
    <t>HS 
lương</t>
  </si>
  <si>
    <t>PCCV</t>
  </si>
  <si>
    <t>PC
TNVK</t>
  </si>
  <si>
    <t>PC 
thâm niên nghề</t>
  </si>
  <si>
    <t>PC 
công vụ</t>
  </si>
  <si>
    <t>PC 
Đảng</t>
  </si>
  <si>
    <t>PC 
đặc biệt ngành</t>
  </si>
  <si>
    <t>PC khác</t>
  </si>
  <si>
    <t>PC
 cấp ủy</t>
  </si>
  <si>
    <t>Bảo hiểm, 
công đoàn</t>
  </si>
  <si>
    <t>Tổng 
hệ số</t>
  </si>
  <si>
    <t>Chi lương, chế độ theo lương</t>
  </si>
  <si>
    <t>Kinh phí 
khoán</t>
  </si>
  <si>
    <t>Kinh phí 
hoạt động chuyên môn thuộc QLNN</t>
  </si>
  <si>
    <t>Chi QLHC</t>
  </si>
  <si>
    <t>SN Giáo dục-Đào tạo</t>
  </si>
  <si>
    <t>Văn hóa</t>
  </si>
  <si>
    <t>Phát thanh</t>
  </si>
  <si>
    <t>Thể thao</t>
  </si>
  <si>
    <t>Y tế</t>
  </si>
  <si>
    <t>Môi trường</t>
  </si>
  <si>
    <t>CC</t>
  </si>
  <si>
    <t>VC</t>
  </si>
  <si>
    <t>HĐ68</t>
  </si>
  <si>
    <t>Tổng</t>
  </si>
  <si>
    <t>Khối cơ quan nhà nước</t>
  </si>
  <si>
    <t>Văn phòng HĐND và UBND huyện</t>
  </si>
  <si>
    <t>Tự chủ</t>
  </si>
  <si>
    <t>Tư pháp</t>
  </si>
  <si>
    <t>Nội vụ</t>
  </si>
  <si>
    <t>Thanh tra</t>
  </si>
  <si>
    <t>Quản lý đô thị</t>
  </si>
  <si>
    <t>Tài chính-Kế hoạch</t>
  </si>
  <si>
    <t>Kinh tế</t>
  </si>
  <si>
    <t>Giáo dục và Đào tạo</t>
  </si>
  <si>
    <t>Tài nguyên và Môi trường</t>
  </si>
  <si>
    <t>Lao động - Thương binh và Xã hội</t>
  </si>
  <si>
    <t>Hội người mù</t>
  </si>
  <si>
    <t>Khối Đảng</t>
  </si>
  <si>
    <t>Ủy ban MTTQ</t>
  </si>
  <si>
    <t>Kinh phí thực hiện các cuộc vận động,
 hội nghị, sơ kết, tổng kết, kinh phí giám sát</t>
  </si>
  <si>
    <t>Đoàn Thanh niên</t>
  </si>
  <si>
    <t>Một số nhiệm vụ trọng tâm</t>
  </si>
  <si>
    <t>Đề án 01</t>
  </si>
  <si>
    <t>Hội thanh niên xung phong</t>
  </si>
  <si>
    <t>Hội người cao tuổi</t>
  </si>
  <si>
    <t>Hội nạn nhân chất độc da cam/dioxin</t>
  </si>
  <si>
    <t>Hội Khuyến học</t>
  </si>
  <si>
    <t>Sự nghiệp</t>
  </si>
  <si>
    <t>Sự nghiệp Giáo dục - Đào tạo</t>
  </si>
  <si>
    <t>Trung tâm bồi dưỡng chính trị huyện</t>
  </si>
  <si>
    <t>Chi đào tạo, bồi dưỡng</t>
  </si>
  <si>
    <t>Hỗ trợ học sinh trường trọng điểm chất lượng cao</t>
  </si>
  <si>
    <t>Kinh phí xăng dầu, trang phục ngành, sửa chữa nhỏ,..</t>
  </si>
  <si>
    <t>Kinh phí quản lý, chăm sóc cây xanh</t>
  </si>
  <si>
    <t>Trung tâm dịch vụ kỹ thuật nông nghiệp</t>
  </si>
  <si>
    <t>Kinh phí khuyến nông, phòng chống dịch bệnh</t>
  </si>
  <si>
    <t>Sự nghiệp kiến thiết thị chính</t>
  </si>
  <si>
    <t>Sự nghiệp giao thông</t>
  </si>
  <si>
    <t>Sự nghiệp nông nghiệp</t>
  </si>
  <si>
    <t>Sự nghiệp thủy lợi</t>
  </si>
  <si>
    <t>Sự nghiệp Văn hóa</t>
  </si>
  <si>
    <t>Chi công tác văn nghệ, tuyên truyền SN văn hóa</t>
  </si>
  <si>
    <t>Sự nghiệp thể thao</t>
  </si>
  <si>
    <t>Hoạt động thể dục thể thao</t>
  </si>
  <si>
    <t>Kinh phí hoạt động phát thanh, nhuận bút,..</t>
  </si>
  <si>
    <t>DỰ KIẾN CHI BỔ SUNG NGÂN SÁCH CẤP XÃ</t>
  </si>
  <si>
    <t>Chi cân đối</t>
  </si>
  <si>
    <t>Chi bổ sung cân đối cho ngân sách xã</t>
  </si>
  <si>
    <t>Ngân sách tỉnh đảm bảo</t>
  </si>
  <si>
    <t>Ngân sách huyện</t>
  </si>
  <si>
    <t>Biểu số 05</t>
  </si>
  <si>
    <t>Biểu số 06</t>
  </si>
  <si>
    <t>Xây dựng hệ thống hồ sơ địa chính và cơ sở dữ liệu quản lý đất đai các xã thị trấn; Chi phí đấu giá, phí thẩm định giá quyền sử dụng đất; Xác định giá đất cụ thể, giá khởi điểm đấu giá quyền sử dụng đất,..</t>
  </si>
  <si>
    <t>Chi đầu tư công</t>
  </si>
  <si>
    <t>Diễn tập khu vực phòng thủ</t>
  </si>
  <si>
    <t>Huấn luyện dân quân, hội thao</t>
  </si>
  <si>
    <t>HT Các hội tổ chức đại hội</t>
  </si>
  <si>
    <t>TỔNG HỢP KINH PHÍ HỖ TRỢ CHO CÁC XÃ, THỊ TRẤN</t>
  </si>
  <si>
    <t>Biểu số 07</t>
  </si>
  <si>
    <t>Kinh phí thực hiện NQ 22/2022/NQ-HĐND</t>
  </si>
  <si>
    <t>Xã, thị trấn</t>
  </si>
  <si>
    <t>Điều tiết NST</t>
  </si>
  <si>
    <t>Ngoài quốc doanh</t>
  </si>
  <si>
    <t>DỰ TOÁN CHI NSNN GIAO CHO CÁC XÃ, THỊ TRẤN NĂM 2023</t>
  </si>
  <si>
    <t>PNN 
(NSX 100%)</t>
  </si>
  <si>
    <t>Phí khác (NSX 100%)</t>
  </si>
  <si>
    <t>Ngân sách cấp huyện</t>
  </si>
  <si>
    <t>Nguồn thu ngân sách cấp huyện</t>
  </si>
  <si>
    <t>Thu ngân sách cấp huyện hưởng theo phân cấp</t>
  </si>
  <si>
    <t>- Các khoản thu ngân sách huyện hưởng 100%</t>
  </si>
  <si>
    <t>- Các khoản thu phân chia NS cấp huyện hưởng theo tỷ lệ phần trăm(%)</t>
  </si>
  <si>
    <t>Bổ sung từ ngân sách cấp tỉnh</t>
  </si>
  <si>
    <t>- Bổ sung cân đối</t>
  </si>
  <si>
    <t>- Bổ sung có mục tiêu</t>
  </si>
  <si>
    <t>Chi ngân sách cấp huyện</t>
  </si>
  <si>
    <t>Chi thuộc nhiệm vụ của ngân sách cấp huyện theo phân cấp</t>
  </si>
  <si>
    <t>Chi từ nguồn BSMT ngân sách cấp trên</t>
  </si>
  <si>
    <t>Ngân sách xã, thị trấn thuộc huyện</t>
  </si>
  <si>
    <t>Nguồn thu ngân sách xã,thị trấn</t>
  </si>
  <si>
    <t>Thu ngân sách hưởng theo phân cấp</t>
  </si>
  <si>
    <t>- Các khoản thu ngân sách xã hưởng 100%</t>
  </si>
  <si>
    <t>- Các khoản thu phân chi NS xã hưởng theo tỷ lệ phần trăm(%)</t>
  </si>
  <si>
    <t>Bổ sung từ ngân sách cấp huyện</t>
  </si>
  <si>
    <t>Chi ngân sách xã, thị trấn</t>
  </si>
  <si>
    <t>DỰ TOÁN CHI NGÂN SÁCH XÃ, THỊ TRẤN NĂM 2023</t>
  </si>
  <si>
    <t>Đơn vị tính: triệu đồng</t>
  </si>
  <si>
    <t>Tổng chi</t>
  </si>
  <si>
    <t>Chi đầu tư</t>
  </si>
  <si>
    <t>(Sau khi trừ 10% tiết kiệm chi)</t>
  </si>
  <si>
    <t>Biểu số 09</t>
  </si>
  <si>
    <t>DỰ TOÁN CHI NGÂN SÁCH ĐỊA PHƯƠNG NĂM 2023</t>
  </si>
  <si>
    <t>Sự nghiệp lâm nghiệp</t>
  </si>
  <si>
    <t>Mua sắm tài sản, CCDC TTBDCT</t>
  </si>
  <si>
    <t>Thuê lao động</t>
  </si>
  <si>
    <t>Tiết kiệm tạo nguồn CCTL</t>
  </si>
  <si>
    <t>Thu ngân sách địa phương</t>
  </si>
  <si>
    <t>Thu từ điều tiết</t>
  </si>
  <si>
    <t>Thu bổ sung từ ngân sách cấp trên</t>
  </si>
  <si>
    <t>2.1</t>
  </si>
  <si>
    <t>2.2</t>
  </si>
  <si>
    <t>Thu khác ngân sách</t>
  </si>
  <si>
    <t>Thu cân đối NSNN trên địa bàn</t>
  </si>
  <si>
    <t>1</t>
  </si>
  <si>
    <t>Thu ngân sách địa phương theo phân cấp</t>
  </si>
  <si>
    <t>2</t>
  </si>
  <si>
    <t>C</t>
  </si>
  <si>
    <t>Chi cân đối ngân sách địa phương</t>
  </si>
  <si>
    <t>Chi đầu tư phát triển</t>
  </si>
  <si>
    <t>Chi dự phòng ngân sách</t>
  </si>
  <si>
    <t>cả</t>
  </si>
  <si>
    <t>2 cấp</t>
  </si>
  <si>
    <t>3</t>
  </si>
  <si>
    <t>Các cấp ngân sách</t>
  </si>
  <si>
    <t>DỰ TOÁN THU NGÂN SÁCH NHÀ NƯỚC NĂM 2024</t>
  </si>
  <si>
    <t>Dự toán 2023</t>
  </si>
  <si>
    <t>Ước thực hiện năm 2023</t>
  </si>
  <si>
    <t>Dự toán tỉnh giao 2024</t>
  </si>
  <si>
    <t>Dự toán huyện giao 2024</t>
  </si>
  <si>
    <t>Thu từ thuế, phí, lệ phí</t>
  </si>
  <si>
    <t>Các khoản thu ngoài Kế hoạch</t>
  </si>
  <si>
    <t>Thu đền bù thiệt hại khi nhà nước thu hồi đất công</t>
  </si>
  <si>
    <t>Thu từ DN nhà nước giữ vai trò chủ đạo</t>
  </si>
  <si>
    <t>Thu từ DN có vốn đầu tư nước ngoài</t>
  </si>
  <si>
    <t>DỰ TOÁN CHI NGÂN SÁCH ĐỊA PHƯƠNG NĂM 2024</t>
  </si>
  <si>
    <t>Dự toán chi</t>
  </si>
  <si>
    <t>Công tác thi đua khen thưởng</t>
  </si>
  <si>
    <t>Công tác văn thư lưu trữ, CCHC, tôn giáo</t>
  </si>
  <si>
    <t>Sự nghiệp kinh tế khác</t>
  </si>
  <si>
    <t>Đại hội</t>
  </si>
  <si>
    <t>Hỗ trợ các TCH xã hội</t>
  </si>
  <si>
    <r>
      <t xml:space="preserve">Chuyển vốn NHCSXH </t>
    </r>
    <r>
      <rPr>
        <i/>
        <sz val="12"/>
        <color theme="1"/>
        <rFont val="Times New Roman"/>
        <family val="1"/>
      </rPr>
      <t>(trong đó quỹ hỗ trợ thanh niên khởi nghiệp: 300trđ)</t>
    </r>
  </si>
  <si>
    <t>Kinh phí đào tạo nâng chuẩn giáo viên</t>
  </si>
  <si>
    <t xml:space="preserve">Mua sắm trang thiết bị dạy học, thay 
sách </t>
  </si>
  <si>
    <t>Chi phí thực hiện tư vấn thẩm định</t>
  </si>
  <si>
    <t>Miễn giảm học phí, chi phí học tập</t>
  </si>
  <si>
    <t>BHYT người có công</t>
  </si>
  <si>
    <t>BHYT đối tượng bảo trợ</t>
  </si>
  <si>
    <t>Đảm bảo xã hội thường xuyên NĐ 20</t>
  </si>
  <si>
    <t>Mai táng phí CCB, TNXP</t>
  </si>
  <si>
    <t>Tiền điện hộ nghèo hộ CSXH</t>
  </si>
  <si>
    <t>Mai táng phí</t>
  </si>
  <si>
    <t>Kinh phí chi hoạt động đảm bảo xã hội
 thường xuyên, chúc mừng thọ, công tác trẻ em,..</t>
  </si>
  <si>
    <t>Kinh phí thực hiện NQ 06</t>
  </si>
  <si>
    <t>Mua sắm tài sản phục vụ phát thanh</t>
  </si>
  <si>
    <t>Phí đấu giá quyền sử dụng đất (bao gồm cả trả nợ các năm trước)</t>
  </si>
  <si>
    <t>TX</t>
  </si>
  <si>
    <t>Đất</t>
  </si>
  <si>
    <t>DP</t>
  </si>
  <si>
    <t>BSMT</t>
  </si>
  <si>
    <t>Huyện</t>
  </si>
  <si>
    <t>Xã</t>
  </si>
  <si>
    <t>Thủy lợi phí</t>
  </si>
  <si>
    <t>Dịch vụ công ích</t>
  </si>
  <si>
    <t>Hỗ trợ thực hiện đề án "Nâng cao năng 
lực, hiệu quả công tác phòng, chống tội phạm và tệ nạn ma túy trên địa bàn tỉnh, giai đoạn 2021-2025"</t>
  </si>
  <si>
    <t>Hỗ trợ đầu tư các công trình hạ tầng nông
 nghiệp nông thôn (2)</t>
  </si>
  <si>
    <t>Thu chuyển nguồn từ nguồn CCTL của NSĐP năm 2023 chuyển nguồn sang năm 2024</t>
  </si>
  <si>
    <t>CÂN ĐỐI NGÂN SÁCH ĐỊA PHƯƠNG NĂM 2024</t>
  </si>
  <si>
    <t>CÂN ĐỐI NGÂN SÁCH CẤP HUYỆN NĂM 2024</t>
  </si>
  <si>
    <t>Chi từ nguồn bổ sung ngân sách cấp trên</t>
  </si>
  <si>
    <t>TỔNG HỢP CHI NGÂN SÁCH ĐỊA PHƯƠNG NĂM 2023</t>
  </si>
  <si>
    <t>Dự toán huyện được chi năm 2023</t>
  </si>
  <si>
    <t>Kết quả thực hiện tới ngày 30/6/2023</t>
  </si>
  <si>
    <t>So sánh (%)</t>
  </si>
  <si>
    <t>Cùng kỳ</t>
  </si>
  <si>
    <t>Thực hiện ngày 20/11/2023</t>
  </si>
  <si>
    <t>Chi thuộc nhiệm vụ của ngân sách cấp xã theo phân cấp</t>
  </si>
  <si>
    <t>Đào tạo y tế thôn, bản</t>
  </si>
  <si>
    <t>Đại hội MTTQ huyện</t>
  </si>
  <si>
    <t>Hỗ trợ các khu dân cư ngày hội Đại đoàn kết</t>
  </si>
  <si>
    <t>Cục Thuế DK giao</t>
  </si>
  <si>
    <t>Tổng cộng H.giao</t>
  </si>
  <si>
    <t>Đội tuyên truyền</t>
  </si>
  <si>
    <t>22.2</t>
  </si>
  <si>
    <t>Đội Ktra thuế 1</t>
  </si>
  <si>
    <t>22.1</t>
  </si>
  <si>
    <t>Các Đội Văn Phòng CCT</t>
  </si>
  <si>
    <t>Chi cục thi hành án huyện Việt Yên</t>
  </si>
  <si>
    <t>Phòng quản lý đô thị huyện Việt Yên</t>
  </si>
  <si>
    <t>Văn phòng HĐND
 và UBND huyện Việt Yên</t>
  </si>
  <si>
    <t>Công An Huyện Việt Yên</t>
  </si>
  <si>
    <t>Khối CQ+DN</t>
  </si>
  <si>
    <t>Cộng Khối xã</t>
  </si>
  <si>
    <t xml:space="preserve">I </t>
  </si>
  <si>
    <t>Cộng đội 3</t>
  </si>
  <si>
    <t>Cộng đội 2</t>
  </si>
  <si>
    <t>Cộng đội 1</t>
  </si>
  <si>
    <t xml:space="preserve">Không thay đổi </t>
  </si>
  <si>
    <t>Phí, Lệ phí khác</t>
  </si>
  <si>
    <t>Lệ phí môn bài DN</t>
  </si>
  <si>
    <t>Lệ phí môn bài hkd</t>
  </si>
  <si>
    <t>Thu từ CQBĐS</t>
  </si>
  <si>
    <t>Thu từ tiền công, tiền lương</t>
  </si>
  <si>
    <t>Thu từ SDKD+ TLTC</t>
  </si>
  <si>
    <t>Phương tiện</t>
  </si>
  <si>
    <t>Nhà đất</t>
  </si>
  <si>
    <t>Thuế Tài nguyên</t>
  </si>
  <si>
    <t>Thuế GTGT+ TNDN</t>
  </si>
  <si>
    <t>TH năm trước</t>
  </si>
  <si>
    <t>DT năm trước</t>
  </si>
  <si>
    <t>Tổng cộng</t>
  </si>
  <si>
    <t xml:space="preserve">Tổng cộng </t>
  </si>
  <si>
    <t>Trong đó chia ra</t>
  </si>
  <si>
    <t>Tổng cộng NQD</t>
  </si>
  <si>
    <t xml:space="preserve">Tỷ lệ </t>
  </si>
  <si>
    <t>Dự kiến giao 2024</t>
  </si>
  <si>
    <t>Ước TH</t>
  </si>
  <si>
    <t>Tổng DT giao  2023</t>
  </si>
  <si>
    <t>Thu cố định tại xã, TT</t>
  </si>
  <si>
    <t xml:space="preserve">Thu khác NS </t>
  </si>
  <si>
    <t>Thuế SD đất Phi nông nghiệp</t>
  </si>
  <si>
    <t xml:space="preserve">Tiền thuê đất </t>
  </si>
  <si>
    <t xml:space="preserve">Tiền SD đất </t>
  </si>
  <si>
    <t xml:space="preserve">Thu Phí, Lệ phí </t>
  </si>
  <si>
    <t xml:space="preserve">Thuế TNCN </t>
  </si>
  <si>
    <t xml:space="preserve">Thu Trước Bạ </t>
  </si>
  <si>
    <t xml:space="preserve">Thu khu vực NQD </t>
  </si>
  <si>
    <t>Năm 2024</t>
  </si>
  <si>
    <t>Năm 2023</t>
  </si>
  <si>
    <t>DỰ  KIẾN GIAO DỰ TOÁN 2024 - CHIA RA</t>
  </si>
  <si>
    <t>Tổng DT trừ đất</t>
  </si>
  <si>
    <t xml:space="preserve">Tổng dự toán </t>
  </si>
  <si>
    <t>BIỂU TỔNG HỢP DỰ KIẾN PHÂN BỔ DỰ TOÁN THU NS NĂM 2024</t>
  </si>
  <si>
    <t>Phụ cấp trang phục, chi khác bộ phận một cửa</t>
  </si>
  <si>
    <t>Phụ cấp bộ phận tiếp dân</t>
  </si>
  <si>
    <t>Tiền điện sinh hoạt</t>
  </si>
  <si>
    <t>Tiền nước sinh hoạt</t>
  </si>
  <si>
    <t>Cước phí internet</t>
  </si>
  <si>
    <t>Hệ thống nước thông minh</t>
  </si>
  <si>
    <t>Xăng xe, bảo dưỡng, sửa chữa, đăng
 kiểm,.. Ô tô</t>
  </si>
  <si>
    <t>Thuê mướn bảo vệ</t>
  </si>
  <si>
    <t>Thuê mướn vệ sinh</t>
  </si>
  <si>
    <t xml:space="preserve">Kinh phí hoạt động HĐND </t>
  </si>
  <si>
    <t>Kinh phí hoạt động của UBND</t>
  </si>
  <si>
    <t>Hoạt động phí của đại biểu HĐND</t>
  </si>
  <si>
    <t>Hỗ trợ VPP, phí khai thác internet, tìm
 kiếm, tra cứu thông tin, tài liệu</t>
  </si>
  <si>
    <t>Đặt mua báo đại biểu nhân dân cho các đại biểu HĐND huyện, đại biểu xã, thị trấn</t>
  </si>
  <si>
    <t>Chi hỗ trợ đại biểu chăm sóc sức khỏe, nghỉ dưỡng</t>
  </si>
  <si>
    <t>Tổ chức các kỳ họp HĐND năm 2024</t>
  </si>
  <si>
    <t>Chi các cuộc họp khác của TTHĐND, các Ban HĐND</t>
  </si>
  <si>
    <t>Chi hỗ trợ cho hoạt động giám sát, khảo sát của TTHĐND và các Ban HĐND</t>
  </si>
  <si>
    <t>Chi hỗ trợ tiếp xúc cử tri</t>
  </si>
  <si>
    <t>Chi khen thưởng, tặng quà, lễ tết, tiếp khách và các khoản chi khác</t>
  </si>
  <si>
    <t>Chi công tác kiểm tra giám sát, tuyên
 truyền, khám tuyển nghĩa vụ quân sự</t>
  </si>
  <si>
    <t>Điện, nước sinh hoạt</t>
  </si>
  <si>
    <t>Chế độ cơ yếu</t>
  </si>
  <si>
    <t>Tiếp khách, đăng tải thông tin quảng cáo, VPP, sửa chữa tài sản, chi hội nghị, chi khác,..</t>
  </si>
  <si>
    <t>Tiếp khách, đăng tải thông tin quảng cáo, VPP, sửa chữa tài sản, hội nghị, chi khác,..</t>
  </si>
  <si>
    <t>Chi dự bị động viên quân nhân dự bị</t>
  </si>
  <si>
    <t>Chi huấn luyện tập huấn DQTV</t>
  </si>
  <si>
    <t>Giáo dục quốc phòng các đối tượng</t>
  </si>
  <si>
    <t>Xét nghiệm ma túy, HIV (nghĩa vụ quân sự)</t>
  </si>
  <si>
    <t>PC khối tự vệ UBND huyện</t>
  </si>
  <si>
    <t>Chi tuyển quân, giao quân</t>
  </si>
  <si>
    <t>Huấn luyện binh chủng</t>
  </si>
  <si>
    <t>- Bổ sung có mục tiêu đảm bảo bằng dự toán chi năm 2023</t>
  </si>
  <si>
    <t>22+99+DQ</t>
  </si>
  <si>
    <t>TX+DP</t>
  </si>
  <si>
    <t>Chi từ nguồn BSMT ngân sách tỉnh</t>
  </si>
  <si>
    <t>Chi nhiệm vụ địa phương cấp xã</t>
  </si>
  <si>
    <t>Thực hiện đến ngày 03/12/2023</t>
  </si>
  <si>
    <t>Kinh phí thực hiện các nhiệm vụ, Đề án, chuyển đổi số,..</t>
  </si>
  <si>
    <t>Hợp đồng lao động theo TT 02/2017/TT-BTC</t>
  </si>
  <si>
    <t>Lấy mẫu hiện trạng môi trường</t>
  </si>
  <si>
    <t>Quan trắc định kỳ bãi rác trung tâm huyện</t>
  </si>
  <si>
    <t>Chi tiền điện, cước internet</t>
  </si>
  <si>
    <t>PC 03</t>
  </si>
  <si>
    <t>BC viên</t>
  </si>
  <si>
    <t>PC cấp ủy, trách nhiệm ĐU</t>
  </si>
  <si>
    <t>PC báo cáo viên</t>
  </si>
  <si>
    <t>PC tổ dư luận xã hội</t>
  </si>
  <si>
    <t>Vệ sinh lao động</t>
  </si>
  <si>
    <t>Thăm hỏi theo quy định 514</t>
  </si>
  <si>
    <t>Chi khen thưởng</t>
  </si>
  <si>
    <t>Các cuộc giám sát BTV HU</t>
  </si>
  <si>
    <t>Chế độ soạn thảo văn bản, trang báo 
Việt Yên</t>
  </si>
  <si>
    <t>Hoạt động giám sát tuyên truyền vận động GPMB</t>
  </si>
  <si>
    <t>Kinh phí hoạt động 2 ban Tôn giáo, quy chế dân chủ</t>
  </si>
  <si>
    <t>Kinh phí hoạt động Đảng ủy DN</t>
  </si>
  <si>
    <t>Số hóa tài liệu lưu trữ 2024</t>
  </si>
  <si>
    <t>Trang phục cán bộ văn phòng</t>
  </si>
  <si>
    <t>Rà soát, thẩm định tiêu chuẩn chính trị cán bộ</t>
  </si>
  <si>
    <t>Kinh phí hoạt động BCĐ 35</t>
  </si>
  <si>
    <t>Nội dung khác</t>
  </si>
  <si>
    <t>Mua xe ô tô</t>
  </si>
  <si>
    <t>Chi xây dựng các văn bản của TTHĐND và các Ban HĐND huyện</t>
  </si>
  <si>
    <t>Kinh phí tự chủ</t>
  </si>
  <si>
    <t>Văn hóa và thông tin</t>
  </si>
  <si>
    <t>Hỗ trợ công tác hội Người mù</t>
  </si>
  <si>
    <t>Kinh phí không tự chủ</t>
  </si>
  <si>
    <t>Kinh phí Đảng viên cao tuổi theo quy định 416</t>
  </si>
  <si>
    <t>Hội Phụ nữ</t>
  </si>
  <si>
    <t>Hội Nông dân</t>
  </si>
  <si>
    <t>Hội Cựu chiến binh</t>
  </si>
  <si>
    <t>Các Hội đặc thù và hỗ trợ các tổ chức xã hội khác</t>
  </si>
  <si>
    <t>Các đơn vị sự nghiệp giáo dục</t>
  </si>
  <si>
    <t>Chi chung SN giáo dục (3% tổng chi hoạt động giảng dạy)</t>
  </si>
  <si>
    <t>Chi lương, PC theo lương khối trường học; chi hoạt động</t>
  </si>
  <si>
    <t>Kinh phí hỗ trợ tiền ăn trưa cho trẻ 3-5 tuổi</t>
  </si>
  <si>
    <t>Kinh phí hỗ trợ học sinh dân tộc thiểu số rất ít người</t>
  </si>
  <si>
    <t>Ban An toàn giao thông (Kinh phí hoạt động Ban ATGT)</t>
  </si>
  <si>
    <t>Trung tâm Văn hóa Thông tin và thể thao</t>
  </si>
  <si>
    <t>Sự nghiệp Văn hóa; sự nghiệp TDTT; sự nghiệp phát thanh</t>
  </si>
  <si>
    <t>Ban Chỉ huy quân sự huyện</t>
  </si>
  <si>
    <t>Quốc phòng; an ninh</t>
  </si>
  <si>
    <t>Phòng Văn hóa và thông tin (Sự nghiệp văn hóa du lịch)</t>
  </si>
  <si>
    <t>Thù lao hợp đồng với bưu điện về cán bộ tiếp nhận hồ sơ tại bộ phận tiếp nhận và trả kết quả</t>
  </si>
  <si>
    <t>Đội quản lý trật tự giao thông-xây dựng và Môi trường</t>
  </si>
  <si>
    <t>Kinh phí phục vụ quản lý kinh tế tập thể, thẩm định giá, kỷ niệm ngày doanh nhân, hội nghị DDCI, đăng ký kinh doanh, cải cách hành chính….</t>
  </si>
  <si>
    <t>Kinh phí thu gom, vận chuyển, xử lý rác thải</t>
  </si>
  <si>
    <t>Chi đặt mua báo cho cựu chiến binh,ĐV lão thành cách mạng, các Chi bộ Đảng ủy,.. Theo CT11</t>
  </si>
  <si>
    <t>(Kèm theo Báo cáo số        /BC-UBND ngày      /12/2023 của UBND huyện)</t>
  </si>
  <si>
    <t>Chi công tác kiểm tra rà soát VB, theo dõi thi hành phổ biến giáo dục PL,..</t>
  </si>
  <si>
    <t>Xăng xe, bảo dưỡng, sửa chữa, đăng
kiểm,.. Ô tô</t>
  </si>
  <si>
    <t>Chi thăm hỏi ốm đau, khó khăn đột xuất và việc tang</t>
  </si>
  <si>
    <t>Kinh phí thực hiện Nghị quyết 23/2021/NQ-HĐND tỉnh</t>
  </si>
  <si>
    <t>Kinh phí hỗ trợ học sinh khuyết tật</t>
  </si>
  <si>
    <t>Chi thường xuyên (xăng dầu, điện nước, VPP...)</t>
  </si>
  <si>
    <t xml:space="preserve">Sự nghiệp an ninh </t>
  </si>
  <si>
    <t>(Kèm theo Báo cáo số 1329/BC-UBND ngày 08/12/2023 của UBND huyện)</t>
  </si>
  <si>
    <t>TỔNG HỢP CHI SỰ NGHIỆP - HÀNH CHÍNH NĂM 2024 KHỐI CÁC CƠ QUAN, ĐƠN VỊ THUỘC HUYỆN 2024</t>
  </si>
  <si>
    <t>Chi giáo viên hợp đồng, thừa giờ,..cho đơn vị thiếu biên chế</t>
  </si>
  <si>
    <t>10.1</t>
  </si>
  <si>
    <t>10.2</t>
  </si>
  <si>
    <t>10.3</t>
  </si>
  <si>
    <t>10.4</t>
  </si>
  <si>
    <t>10.5</t>
  </si>
  <si>
    <t>10.6</t>
  </si>
  <si>
    <t>Kinh phí thực hiện các nhiệm vụ, Đề án, chuyển đổi số, mua sắm tài sản, ..</t>
  </si>
  <si>
    <t>Kinh phí thực hiện nhiệm vụ, đề án, chuyển đổi số, 
mua sắm tài sản,...</t>
  </si>
  <si>
    <t>Miễn giảm học phí</t>
  </si>
  <si>
    <t>10.7</t>
  </si>
  <si>
    <t>Chi phí học tập</t>
  </si>
  <si>
    <t>(Kèm theo Nghị quyết số      /NQ-HĐND ngày    /12/2023 của HĐND huyện)</t>
  </si>
  <si>
    <t>(Kèm theo Nghị quyết số     /NQ-HĐND ngày      /12/2023 của HĐND huyện)</t>
  </si>
  <si>
    <t>(Kèm theo Nghị quyết số     /NQ-HĐND ngày     /12/2023 của HĐND huyện)</t>
  </si>
  <si>
    <t>(Kèm theo Nghị quyết số       /NQ-HĐND ngày     /12/2023 của HĐND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</si>
</sst>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_ * #,##0_ ;_ * \-#,##0_ ;_ * &quot;-&quot;??_ ;_ @_ "/>
    <numFmt numFmtId="166" formatCode="_-* #,##0_-;\-* #,##0_-;_-* &quot;-&quot;??_-;_-@_-"/>
    <numFmt numFmtId="167" formatCode="#,###"/>
    <numFmt numFmtId="168" formatCode="_(* #,##0.000_);_(* \(#,##0.000\);_(* &quot;-&quot;??_);_(@_)"/>
  </numFmts>
  <fonts count="54" x14ac:knownFonts="1">
    <font>
      <sz val="12"/>
      <color theme="1"/>
      <name val="Times New Roman"/>
      <family val="2"/>
    </font>
    <font>
      <sz val="12"/>
      <color theme="1"/>
      <name val="Times New Roman"/>
      <family val="2"/>
    </font>
    <font>
      <sz val="12"/>
      <color indexed="8"/>
      <name val="Times New Roman"/>
      <family val="2"/>
    </font>
    <font>
      <b/>
      <sz val="12"/>
      <color indexed="8"/>
      <name val="Times New Roman"/>
      <family val="1"/>
    </font>
    <font>
      <i/>
      <sz val="12"/>
      <color indexed="8"/>
      <name val="Times New Roman"/>
      <family val="1"/>
    </font>
    <font>
      <sz val="12"/>
      <color indexed="8"/>
      <name val="Times New Roman"/>
      <family val="1"/>
    </font>
    <font>
      <b/>
      <sz val="12"/>
      <color theme="1"/>
      <name val="Times New Roman"/>
      <family val="1"/>
    </font>
    <font>
      <sz val="14"/>
      <color theme="1"/>
      <name val="Times New Roman"/>
      <family val="1"/>
    </font>
    <font>
      <sz val="14"/>
      <color rgb="FF000000"/>
      <name val="Times New Roman"/>
      <family val="1"/>
    </font>
    <font>
      <sz val="12"/>
      <color rgb="FFFF0000"/>
      <name val="Times New Roman"/>
      <family val="2"/>
    </font>
    <font>
      <sz val="11.5"/>
      <color rgb="FF001A33"/>
      <name val="Segoe UI"/>
      <family val="2"/>
    </font>
    <font>
      <sz val="9"/>
      <color indexed="81"/>
      <name val="Tahoma"/>
      <family val="2"/>
    </font>
    <font>
      <b/>
      <sz val="9"/>
      <color indexed="81"/>
      <name val="Tahoma"/>
      <family val="2"/>
    </font>
    <font>
      <sz val="11"/>
      <color indexed="81"/>
      <name val="Times New Roman"/>
      <family val="1"/>
    </font>
    <font>
      <sz val="12"/>
      <color theme="1"/>
      <name val="Times New Roman"/>
      <family val="1"/>
    </font>
    <font>
      <i/>
      <sz val="12"/>
      <color theme="1"/>
      <name val="Times New Roman"/>
      <family val="1"/>
    </font>
    <font>
      <b/>
      <sz val="10"/>
      <color theme="1"/>
      <name val="Times New Roman"/>
      <family val="1"/>
    </font>
    <font>
      <sz val="10"/>
      <color theme="1"/>
      <name val="Times New Roman"/>
      <family val="1"/>
    </font>
    <font>
      <sz val="10"/>
      <name val="Times New Roman"/>
      <family val="1"/>
    </font>
    <font>
      <b/>
      <sz val="10"/>
      <name val="Times New Roman"/>
      <family val="1"/>
    </font>
    <font>
      <b/>
      <sz val="12"/>
      <name val="Times New Roman"/>
      <family val="1"/>
    </font>
    <font>
      <sz val="12"/>
      <name val="Times New Roman"/>
      <family val="1"/>
    </font>
    <font>
      <i/>
      <sz val="10"/>
      <name val="Times New Roman"/>
      <family val="1"/>
    </font>
    <font>
      <b/>
      <i/>
      <sz val="12"/>
      <color indexed="8"/>
      <name val="Times New Roman"/>
      <family val="1"/>
    </font>
    <font>
      <b/>
      <sz val="14"/>
      <color theme="1"/>
      <name val="Times New Roman"/>
      <family val="1"/>
    </font>
    <font>
      <b/>
      <sz val="14"/>
      <color indexed="8"/>
      <name val="Times New Roman"/>
      <family val="1"/>
    </font>
    <font>
      <i/>
      <sz val="14"/>
      <color indexed="8"/>
      <name val="Times New Roman"/>
      <family val="1"/>
    </font>
    <font>
      <sz val="14"/>
      <color indexed="8"/>
      <name val="Times New Roman"/>
      <family val="1"/>
    </font>
    <font>
      <i/>
      <sz val="14"/>
      <color theme="1"/>
      <name val="Times New Roman"/>
      <family val="1"/>
    </font>
    <font>
      <b/>
      <i/>
      <sz val="14"/>
      <color indexed="8"/>
      <name val="Times New Roman"/>
      <family val="1"/>
    </font>
    <font>
      <i/>
      <sz val="14"/>
      <color rgb="FFFF0000"/>
      <name val="Times New Roman"/>
      <family val="1"/>
    </font>
    <font>
      <b/>
      <i/>
      <sz val="14"/>
      <color rgb="FFFF0000"/>
      <name val="Times New Roman"/>
      <family val="1"/>
    </font>
    <font>
      <sz val="12"/>
      <color rgb="FFFFC000"/>
      <name val="Times New Roman"/>
      <family val="2"/>
    </font>
    <font>
      <sz val="9"/>
      <name val="Tahoma"/>
      <family val="2"/>
    </font>
    <font>
      <b/>
      <sz val="9"/>
      <name val="Tahoma"/>
      <family val="2"/>
    </font>
    <font>
      <sz val="9"/>
      <color theme="1"/>
      <name val="Arial"/>
      <family val="2"/>
    </font>
    <font>
      <b/>
      <sz val="12"/>
      <color theme="1"/>
      <name val="Times New Roman"/>
      <family val="2"/>
    </font>
    <font>
      <sz val="14"/>
      <color theme="1"/>
      <name val="Times New Roman"/>
      <family val="2"/>
    </font>
    <font>
      <b/>
      <sz val="14"/>
      <color theme="1"/>
      <name val="Times New Roman"/>
      <family val="2"/>
    </font>
    <font>
      <sz val="10"/>
      <color theme="1"/>
      <name val="Times New Roman"/>
      <family val="2"/>
    </font>
    <font>
      <sz val="11"/>
      <color theme="1"/>
      <name val="Times New Roman"/>
      <family val="2"/>
    </font>
    <font>
      <b/>
      <sz val="11"/>
      <color theme="1"/>
      <name val="Times New Roman"/>
      <family val="2"/>
    </font>
    <font>
      <sz val="9"/>
      <color theme="1"/>
      <name val="Times New Roman"/>
      <family val="2"/>
    </font>
    <font>
      <b/>
      <sz val="10"/>
      <color theme="1"/>
      <name val="Times New Roman"/>
      <family val="2"/>
    </font>
    <font>
      <i/>
      <sz val="14"/>
      <color theme="1"/>
      <name val="Times New Roman"/>
      <family val="2"/>
    </font>
    <font>
      <i/>
      <sz val="10"/>
      <color theme="1"/>
      <name val="Times New Roman"/>
      <family val="2"/>
    </font>
    <font>
      <i/>
      <sz val="12"/>
      <color theme="1"/>
      <name val="Times New Roman"/>
      <family val="2"/>
    </font>
    <font>
      <b/>
      <u/>
      <sz val="12"/>
      <color theme="1"/>
      <name val="Times New Roman"/>
      <family val="2"/>
    </font>
    <font>
      <b/>
      <sz val="9"/>
      <color theme="1"/>
      <name val="Arial"/>
      <family val="2"/>
    </font>
    <font>
      <b/>
      <sz val="12"/>
      <color theme="1"/>
      <name val="Times New Roman"/>
      <family val="1"/>
      <charset val="163"/>
    </font>
    <font>
      <sz val="12"/>
      <color theme="1"/>
      <name val="Times New Roman"/>
      <family val="1"/>
      <charset val="163"/>
    </font>
    <font>
      <i/>
      <sz val="14"/>
      <color indexed="8"/>
      <name val="Times New Roman"/>
      <family val="1"/>
      <charset val="163"/>
    </font>
    <font>
      <i/>
      <sz val="12"/>
      <color theme="1"/>
      <name val="Times New Roman"/>
      <family val="1"/>
      <charset val="163"/>
    </font>
    <font>
      <b/>
      <sz val="12"/>
      <color rgb="FFFF0000"/>
      <name val="Times New Roman"/>
      <family val="1"/>
      <charset val="163"/>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xf numFmtId="43" fontId="2"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cellStyleXfs>
  <cellXfs count="584">
    <xf numFmtId="0" fontId="0" fillId="0" borderId="0" xfId="0"/>
    <xf numFmtId="164" fontId="1" fillId="0" borderId="0" xfId="1" applyNumberFormat="1" applyFont="1"/>
    <xf numFmtId="164" fontId="1" fillId="0" borderId="0" xfId="1" applyNumberFormat="1" applyFont="1" applyFill="1"/>
    <xf numFmtId="0" fontId="0" fillId="0" borderId="1" xfId="0" applyBorder="1" applyAlignment="1">
      <alignment horizontal="center" vertical="center" wrapText="1"/>
    </xf>
    <xf numFmtId="164" fontId="1" fillId="0" borderId="2" xfId="1" applyNumberFormat="1" applyFont="1" applyFill="1" applyBorder="1" applyAlignment="1">
      <alignment horizontal="center" vertical="center" wrapText="1"/>
    </xf>
    <xf numFmtId="164" fontId="1" fillId="0" borderId="2" xfId="1" applyNumberFormat="1" applyFont="1" applyBorder="1" applyAlignment="1">
      <alignment horizontal="center" vertical="center" wrapText="1"/>
    </xf>
    <xf numFmtId="0" fontId="3" fillId="0" borderId="4" xfId="0" applyFont="1" applyBorder="1" applyAlignment="1">
      <alignment horizontal="center" vertical="center" wrapText="1"/>
    </xf>
    <xf numFmtId="164" fontId="3" fillId="0" borderId="4" xfId="1" applyNumberFormat="1" applyFont="1" applyFill="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4" xfId="1" applyNumberFormat="1" applyFont="1" applyBorder="1"/>
    <xf numFmtId="164" fontId="3" fillId="0" borderId="0" xfId="1" applyNumberFormat="1" applyFont="1"/>
    <xf numFmtId="164" fontId="3" fillId="0" borderId="0" xfId="0" applyNumberFormat="1" applyFont="1"/>
    <xf numFmtId="0" fontId="3" fillId="0" borderId="0" xfId="0" applyFont="1"/>
    <xf numFmtId="0" fontId="3" fillId="0" borderId="5" xfId="0" applyFont="1" applyBorder="1" applyAlignment="1">
      <alignment horizontal="center"/>
    </xf>
    <xf numFmtId="0" fontId="3" fillId="0" borderId="5" xfId="0" applyFont="1" applyBorder="1"/>
    <xf numFmtId="164" fontId="3" fillId="0" borderId="5" xfId="1" applyNumberFormat="1" applyFont="1" applyFill="1" applyBorder="1"/>
    <xf numFmtId="164" fontId="3" fillId="0" borderId="5" xfId="1" applyNumberFormat="1" applyFont="1" applyBorder="1"/>
    <xf numFmtId="0" fontId="0" fillId="0" borderId="5" xfId="0" applyBorder="1" applyAlignment="1">
      <alignment horizontal="center"/>
    </xf>
    <xf numFmtId="0" fontId="0" fillId="0" borderId="5" xfId="0" applyBorder="1"/>
    <xf numFmtId="164" fontId="1" fillId="0" borderId="5" xfId="1" applyNumberFormat="1" applyFont="1" applyBorder="1"/>
    <xf numFmtId="164" fontId="1" fillId="0" borderId="5" xfId="1" applyNumberFormat="1" applyFont="1" applyFill="1" applyBorder="1"/>
    <xf numFmtId="164" fontId="0" fillId="0" borderId="0" xfId="0" applyNumberFormat="1"/>
    <xf numFmtId="0" fontId="0" fillId="0" borderId="5" xfId="0" applyBorder="1" applyAlignment="1">
      <alignment horizontal="left" wrapText="1"/>
    </xf>
    <xf numFmtId="0" fontId="0" fillId="0" borderId="0" xfId="0" applyAlignment="1">
      <alignment horizontal="center"/>
    </xf>
    <xf numFmtId="164" fontId="5" fillId="0" borderId="5" xfId="1" applyNumberFormat="1" applyFont="1" applyBorder="1"/>
    <xf numFmtId="0" fontId="5" fillId="0" borderId="5" xfId="0" applyFont="1" applyBorder="1" applyAlignment="1">
      <alignment horizontal="center"/>
    </xf>
    <xf numFmtId="164" fontId="5" fillId="0" borderId="5" xfId="1" applyNumberFormat="1" applyFont="1" applyFill="1" applyBorder="1"/>
    <xf numFmtId="164" fontId="5" fillId="0" borderId="0" xfId="1" applyNumberFormat="1" applyFont="1"/>
    <xf numFmtId="0" fontId="5" fillId="0" borderId="0" xfId="0" applyFont="1"/>
    <xf numFmtId="164" fontId="5" fillId="0" borderId="0" xfId="0" applyNumberFormat="1" applyFont="1"/>
    <xf numFmtId="0" fontId="5" fillId="0" borderId="5" xfId="0" applyFont="1" applyBorder="1" applyAlignment="1">
      <alignment wrapText="1"/>
    </xf>
    <xf numFmtId="164" fontId="5" fillId="0" borderId="6" xfId="1" applyNumberFormat="1" applyFont="1" applyBorder="1"/>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xf>
    <xf numFmtId="164" fontId="6" fillId="0" borderId="1" xfId="1" applyNumberFormat="1" applyFon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164" fontId="6" fillId="0" borderId="1" xfId="0" applyNumberFormat="1" applyFont="1" applyBorder="1" applyAlignment="1">
      <alignment horizontal="center" vertical="center"/>
    </xf>
    <xf numFmtId="0" fontId="0" fillId="0" borderId="0" xfId="0"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wrapText="1"/>
    </xf>
    <xf numFmtId="3" fontId="8" fillId="0" borderId="1" xfId="0" applyNumberFormat="1" applyFont="1" applyBorder="1"/>
    <xf numFmtId="0" fontId="8" fillId="0" borderId="1" xfId="0" applyFont="1" applyBorder="1"/>
    <xf numFmtId="3" fontId="7" fillId="0" borderId="0" xfId="0" applyNumberFormat="1" applyFont="1"/>
    <xf numFmtId="164" fontId="0" fillId="0" borderId="0" xfId="1" applyNumberFormat="1" applyFont="1"/>
    <xf numFmtId="0" fontId="0" fillId="2" borderId="0" xfId="0" applyFill="1"/>
    <xf numFmtId="164" fontId="0" fillId="2" borderId="0" xfId="1" applyNumberFormat="1" applyFont="1" applyFill="1"/>
    <xf numFmtId="0" fontId="9" fillId="0" borderId="0" xfId="0" applyFont="1"/>
    <xf numFmtId="0" fontId="6" fillId="0" borderId="6" xfId="0" applyFont="1" applyBorder="1" applyAlignment="1">
      <alignment horizontal="center"/>
    </xf>
    <xf numFmtId="0" fontId="6" fillId="0" borderId="6" xfId="0" applyFont="1" applyBorder="1"/>
    <xf numFmtId="164" fontId="6" fillId="0" borderId="6" xfId="1" applyNumberFormat="1" applyFont="1" applyBorder="1"/>
    <xf numFmtId="164" fontId="6" fillId="0" borderId="6" xfId="1" applyNumberFormat="1" applyFont="1" applyFill="1" applyBorder="1"/>
    <xf numFmtId="164" fontId="6" fillId="0" borderId="3" xfId="1" applyNumberFormat="1" applyFont="1" applyBorder="1"/>
    <xf numFmtId="164" fontId="6" fillId="0" borderId="0" xfId="1" applyNumberFormat="1" applyFont="1"/>
    <xf numFmtId="0" fontId="6" fillId="0" borderId="0" xfId="0" applyFont="1"/>
    <xf numFmtId="164" fontId="0" fillId="0" borderId="1" xfId="1" applyNumberFormat="1" applyFont="1" applyBorder="1" applyAlignment="1">
      <alignment horizontal="center" vertical="center" wrapText="1"/>
    </xf>
    <xf numFmtId="0" fontId="4" fillId="0" borderId="0" xfId="0" applyFont="1" applyAlignment="1">
      <alignment horizontal="center"/>
    </xf>
    <xf numFmtId="164" fontId="1" fillId="0" borderId="0" xfId="1" applyNumberFormat="1" applyFont="1" applyBorder="1" applyAlignment="1">
      <alignment horizontal="center"/>
    </xf>
    <xf numFmtId="164" fontId="0" fillId="0" borderId="0"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64" fontId="3" fillId="0" borderId="11" xfId="1" applyNumberFormat="1" applyFont="1" applyBorder="1"/>
    <xf numFmtId="164" fontId="3" fillId="0" borderId="0" xfId="0" applyNumberFormat="1" applyFont="1" applyAlignment="1">
      <alignment horizontal="center"/>
    </xf>
    <xf numFmtId="3" fontId="0" fillId="0" borderId="0" xfId="0" applyNumberFormat="1"/>
    <xf numFmtId="164" fontId="1" fillId="2" borderId="5" xfId="1" applyNumberFormat="1" applyFont="1" applyFill="1" applyBorder="1"/>
    <xf numFmtId="164" fontId="1" fillId="3" borderId="2" xfId="1" applyNumberFormat="1" applyFont="1" applyFill="1" applyBorder="1" applyAlignment="1">
      <alignment horizontal="center" vertical="center" wrapText="1"/>
    </xf>
    <xf numFmtId="0" fontId="3" fillId="0" borderId="4" xfId="1" applyNumberFormat="1" applyFont="1" applyBorder="1"/>
    <xf numFmtId="9" fontId="1" fillId="0" borderId="0" xfId="2" applyFont="1" applyFill="1"/>
    <xf numFmtId="9" fontId="1" fillId="0" borderId="0" xfId="2" applyFont="1"/>
    <xf numFmtId="9" fontId="3" fillId="0" borderId="0" xfId="2" applyFont="1"/>
    <xf numFmtId="9" fontId="0" fillId="0" borderId="0" xfId="2" applyFont="1"/>
    <xf numFmtId="0" fontId="0" fillId="2" borderId="0" xfId="0" applyFill="1" applyAlignment="1">
      <alignment horizontal="center" vertical="center"/>
    </xf>
    <xf numFmtId="164" fontId="1" fillId="0" borderId="12" xfId="1" applyNumberFormat="1" applyFont="1" applyFill="1" applyBorder="1"/>
    <xf numFmtId="0" fontId="0" fillId="0" borderId="0" xfId="0" applyAlignment="1">
      <alignment wrapText="1"/>
    </xf>
    <xf numFmtId="164" fontId="1" fillId="0" borderId="1" xfId="1" applyNumberFormat="1" applyFont="1" applyBorder="1" applyAlignment="1">
      <alignment horizontal="center" vertical="center" wrapText="1"/>
    </xf>
    <xf numFmtId="0" fontId="3" fillId="0" borderId="0" xfId="0" applyFont="1" applyAlignment="1">
      <alignment horizontal="center"/>
    </xf>
    <xf numFmtId="0" fontId="0" fillId="0" borderId="2" xfId="0" applyBorder="1" applyAlignment="1">
      <alignment horizontal="center" vertical="center" wrapText="1"/>
    </xf>
    <xf numFmtId="164" fontId="3" fillId="0" borderId="11" xfId="1" applyNumberFormat="1" applyFont="1" applyFill="1" applyBorder="1"/>
    <xf numFmtId="164" fontId="5" fillId="0" borderId="11" xfId="1" applyNumberFormat="1" applyFont="1" applyFill="1" applyBorder="1"/>
    <xf numFmtId="164" fontId="1" fillId="0" borderId="11" xfId="1" applyNumberFormat="1" applyFont="1" applyFill="1" applyBorder="1"/>
    <xf numFmtId="164" fontId="6" fillId="0" borderId="3" xfId="1" applyNumberFormat="1" applyFont="1" applyFill="1" applyBorder="1"/>
    <xf numFmtId="0" fontId="4" fillId="0" borderId="0" xfId="0" applyFont="1"/>
    <xf numFmtId="164" fontId="4" fillId="0" borderId="0" xfId="1" applyNumberFormat="1" applyFont="1" applyAlignment="1"/>
    <xf numFmtId="164" fontId="5" fillId="2" borderId="5" xfId="1" applyNumberFormat="1" applyFont="1" applyFill="1" applyBorder="1"/>
    <xf numFmtId="164" fontId="4" fillId="0" borderId="0" xfId="0" applyNumberFormat="1" applyFont="1"/>
    <xf numFmtId="164" fontId="0" fillId="0" borderId="7" xfId="1" applyNumberFormat="1" applyFont="1" applyBorder="1" applyAlignment="1">
      <alignment horizontal="center" vertical="center" wrapText="1"/>
    </xf>
    <xf numFmtId="164" fontId="5" fillId="2" borderId="11" xfId="1" applyNumberFormat="1" applyFont="1" applyFill="1" applyBorder="1"/>
    <xf numFmtId="164" fontId="5" fillId="0" borderId="12" xfId="1" applyNumberFormat="1" applyFont="1" applyBorder="1"/>
    <xf numFmtId="164" fontId="3" fillId="0" borderId="0" xfId="1" applyNumberFormat="1" applyFont="1" applyFill="1"/>
    <xf numFmtId="164" fontId="5" fillId="0" borderId="0" xfId="1" applyNumberFormat="1" applyFont="1" applyFill="1"/>
    <xf numFmtId="164" fontId="1" fillId="0" borderId="6" xfId="1" applyNumberFormat="1" applyFont="1" applyFill="1" applyBorder="1"/>
    <xf numFmtId="164" fontId="6" fillId="0" borderId="0" xfId="1" applyNumberFormat="1" applyFont="1" applyFill="1"/>
    <xf numFmtId="164" fontId="14" fillId="0" borderId="5" xfId="1" applyNumberFormat="1" applyFont="1" applyFill="1" applyBorder="1"/>
    <xf numFmtId="0" fontId="14" fillId="0" borderId="5" xfId="0" applyFont="1" applyBorder="1"/>
    <xf numFmtId="0" fontId="14" fillId="0" borderId="0" xfId="0" applyFont="1"/>
    <xf numFmtId="164" fontId="0" fillId="0" borderId="0" xfId="1" applyNumberFormat="1" applyFont="1" applyFill="1"/>
    <xf numFmtId="164" fontId="14" fillId="0" borderId="0" xfId="1" applyNumberFormat="1" applyFont="1" applyFill="1" applyAlignment="1"/>
    <xf numFmtId="164" fontId="17" fillId="0" borderId="0" xfId="1" applyNumberFormat="1" applyFont="1" applyFill="1" applyAlignment="1"/>
    <xf numFmtId="164" fontId="16" fillId="0" borderId="0" xfId="1" applyNumberFormat="1" applyFont="1" applyFill="1" applyAlignment="1"/>
    <xf numFmtId="164" fontId="14" fillId="0" borderId="1" xfId="1" applyNumberFormat="1" applyFont="1" applyFill="1" applyBorder="1" applyAlignment="1">
      <alignment horizontal="center"/>
    </xf>
    <xf numFmtId="164" fontId="14" fillId="0" borderId="1" xfId="1" applyNumberFormat="1" applyFont="1" applyFill="1" applyBorder="1" applyAlignment="1">
      <alignment horizontal="left"/>
    </xf>
    <xf numFmtId="164" fontId="14" fillId="0" borderId="1" xfId="1" applyNumberFormat="1" applyFont="1" applyFill="1" applyBorder="1" applyAlignment="1">
      <alignment horizontal="left" vertical="center" wrapText="1"/>
    </xf>
    <xf numFmtId="164" fontId="6" fillId="0" borderId="1" xfId="1" applyNumberFormat="1" applyFont="1" applyFill="1" applyBorder="1" applyAlignment="1"/>
    <xf numFmtId="164" fontId="6" fillId="0" borderId="1" xfId="1" applyNumberFormat="1" applyFont="1" applyFill="1" applyBorder="1" applyAlignment="1">
      <alignment horizontal="left"/>
    </xf>
    <xf numFmtId="164" fontId="6" fillId="0" borderId="6" xfId="1" applyNumberFormat="1" applyFont="1" applyFill="1" applyBorder="1" applyAlignment="1"/>
    <xf numFmtId="164" fontId="6" fillId="0" borderId="0" xfId="1" applyNumberFormat="1" applyFont="1" applyFill="1" applyAlignment="1"/>
    <xf numFmtId="164" fontId="14" fillId="0" borderId="0" xfId="1" applyNumberFormat="1" applyFont="1" applyFill="1" applyAlignment="1">
      <alignment horizontal="left"/>
    </xf>
    <xf numFmtId="0" fontId="0" fillId="0" borderId="0" xfId="0" applyAlignment="1">
      <alignment vertical="center"/>
    </xf>
    <xf numFmtId="0" fontId="18"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164" fontId="14" fillId="0" borderId="5" xfId="1" applyNumberFormat="1" applyFont="1" applyFill="1" applyBorder="1" applyAlignment="1">
      <alignment horizontal="left"/>
    </xf>
    <xf numFmtId="164" fontId="14" fillId="0" borderId="5" xfId="1" applyNumberFormat="1" applyFont="1" applyFill="1" applyBorder="1" applyAlignment="1">
      <alignment horizontal="left" vertical="center" wrapText="1"/>
    </xf>
    <xf numFmtId="164" fontId="14" fillId="0" borderId="11" xfId="1" applyNumberFormat="1" applyFont="1" applyFill="1" applyBorder="1" applyAlignment="1">
      <alignment horizontal="left"/>
    </xf>
    <xf numFmtId="164" fontId="14" fillId="0" borderId="5" xfId="1" applyNumberFormat="1" applyFont="1" applyFill="1" applyBorder="1" applyAlignment="1">
      <alignment horizontal="center"/>
    </xf>
    <xf numFmtId="164" fontId="14" fillId="0" borderId="12" xfId="1" applyNumberFormat="1" applyFont="1" applyFill="1" applyBorder="1" applyAlignment="1">
      <alignment horizontal="center"/>
    </xf>
    <xf numFmtId="164" fontId="14" fillId="0" borderId="12" xfId="1" applyNumberFormat="1" applyFont="1" applyFill="1" applyBorder="1" applyAlignment="1">
      <alignment horizontal="left"/>
    </xf>
    <xf numFmtId="0" fontId="0" fillId="0" borderId="5" xfId="0" applyBorder="1" applyAlignment="1">
      <alignment horizontal="center" vertical="center"/>
    </xf>
    <xf numFmtId="164" fontId="0" fillId="0" borderId="5" xfId="1" applyNumberFormat="1" applyFont="1" applyFill="1" applyBorder="1"/>
    <xf numFmtId="43" fontId="0" fillId="0" borderId="5" xfId="1" applyFont="1" applyFill="1" applyBorder="1"/>
    <xf numFmtId="0" fontId="14" fillId="0" borderId="0" xfId="0" applyFont="1" applyAlignment="1">
      <alignment vertical="center"/>
    </xf>
    <xf numFmtId="164" fontId="16" fillId="0" borderId="4" xfId="1"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164" fontId="14" fillId="0" borderId="5" xfId="0" applyNumberFormat="1" applyFont="1" applyBorder="1" applyAlignment="1">
      <alignment vertical="center"/>
    </xf>
    <xf numFmtId="164" fontId="14" fillId="0" borderId="12" xfId="0" applyNumberFormat="1" applyFont="1" applyBorder="1" applyAlignment="1">
      <alignment vertical="center"/>
    </xf>
    <xf numFmtId="164" fontId="14" fillId="0" borderId="1" xfId="0" applyNumberFormat="1"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164" fontId="15" fillId="0" borderId="11" xfId="0" applyNumberFormat="1" applyFont="1" applyBorder="1" applyAlignment="1">
      <alignment vertical="center"/>
    </xf>
    <xf numFmtId="164" fontId="14" fillId="0" borderId="11" xfId="0" applyNumberFormat="1" applyFont="1" applyBorder="1" applyAlignment="1">
      <alignment vertical="center"/>
    </xf>
    <xf numFmtId="0" fontId="14" fillId="0" borderId="6" xfId="0" applyFont="1" applyBorder="1" applyAlignment="1">
      <alignment vertical="center"/>
    </xf>
    <xf numFmtId="0" fontId="15" fillId="0" borderId="6" xfId="0" applyFont="1" applyBorder="1" applyAlignment="1">
      <alignment vertical="center"/>
    </xf>
    <xf numFmtId="164" fontId="14" fillId="0" borderId="6" xfId="0" applyNumberFormat="1" applyFont="1" applyBorder="1" applyAlignment="1">
      <alignment vertical="center"/>
    </xf>
    <xf numFmtId="164" fontId="14" fillId="0" borderId="0" xfId="0" applyNumberFormat="1" applyFont="1" applyAlignment="1">
      <alignment vertical="center"/>
    </xf>
    <xf numFmtId="3" fontId="10" fillId="0" borderId="0" xfId="0" applyNumberFormat="1" applyFont="1"/>
    <xf numFmtId="164" fontId="4" fillId="0" borderId="0" xfId="1" applyNumberFormat="1" applyFont="1" applyFill="1"/>
    <xf numFmtId="0" fontId="3" fillId="0" borderId="4" xfId="0" applyFont="1" applyBorder="1" applyAlignment="1">
      <alignment horizontal="center"/>
    </xf>
    <xf numFmtId="164" fontId="3" fillId="0" borderId="4" xfId="1" applyNumberFormat="1" applyFont="1" applyFill="1" applyBorder="1"/>
    <xf numFmtId="164" fontId="3" fillId="0" borderId="4" xfId="0" applyNumberFormat="1" applyFont="1" applyBorder="1"/>
    <xf numFmtId="164" fontId="3" fillId="0" borderId="5" xfId="0" applyNumberFormat="1" applyFont="1" applyBorder="1"/>
    <xf numFmtId="164" fontId="5" fillId="0" borderId="5" xfId="0" applyNumberFormat="1" applyFont="1" applyBorder="1"/>
    <xf numFmtId="49" fontId="5" fillId="0" borderId="5" xfId="0" applyNumberFormat="1" applyFont="1" applyBorder="1" applyAlignment="1">
      <alignment horizontal="left" wrapText="1"/>
    </xf>
    <xf numFmtId="9" fontId="1" fillId="0" borderId="5" xfId="2" applyFont="1" applyFill="1" applyBorder="1"/>
    <xf numFmtId="164" fontId="0" fillId="0" borderId="5" xfId="0" applyNumberFormat="1" applyBorder="1"/>
    <xf numFmtId="10" fontId="0" fillId="0" borderId="0" xfId="0" applyNumberFormat="1"/>
    <xf numFmtId="0" fontId="0" fillId="0" borderId="5" xfId="0" quotePrefix="1" applyBorder="1" applyAlignment="1">
      <alignment horizontal="center"/>
    </xf>
    <xf numFmtId="0" fontId="5" fillId="0" borderId="5" xfId="0" applyFont="1" applyBorder="1"/>
    <xf numFmtId="0" fontId="4" fillId="0" borderId="5" xfId="0" applyFont="1" applyBorder="1" applyAlignment="1">
      <alignment horizontal="center"/>
    </xf>
    <xf numFmtId="0" fontId="4" fillId="0" borderId="5" xfId="0" applyFont="1" applyBorder="1"/>
    <xf numFmtId="164" fontId="4" fillId="0" borderId="5" xfId="1" applyNumberFormat="1" applyFont="1" applyFill="1" applyBorder="1"/>
    <xf numFmtId="164" fontId="4" fillId="0" borderId="5" xfId="0" applyNumberFormat="1" applyFont="1" applyBorder="1"/>
    <xf numFmtId="49" fontId="4" fillId="0" borderId="5" xfId="0" applyNumberFormat="1" applyFont="1" applyBorder="1"/>
    <xf numFmtId="49" fontId="4" fillId="0" borderId="5" xfId="0" applyNumberFormat="1" applyFont="1" applyBorder="1" applyAlignment="1">
      <alignment horizontal="left" wrapText="1"/>
    </xf>
    <xf numFmtId="164" fontId="6" fillId="0" borderId="5" xfId="1" applyNumberFormat="1" applyFont="1" applyFill="1" applyBorder="1"/>
    <xf numFmtId="0" fontId="3" fillId="0" borderId="5" xfId="0" applyFont="1" applyBorder="1" applyAlignment="1">
      <alignment horizontal="left" wrapText="1"/>
    </xf>
    <xf numFmtId="0" fontId="0" fillId="0" borderId="12" xfId="0" applyBorder="1" applyAlignment="1">
      <alignment horizontal="center"/>
    </xf>
    <xf numFmtId="0" fontId="0" fillId="0" borderId="12" xfId="0" applyBorder="1"/>
    <xf numFmtId="0" fontId="3" fillId="0" borderId="6" xfId="0" applyFont="1" applyBorder="1" applyAlignment="1">
      <alignment horizontal="center"/>
    </xf>
    <xf numFmtId="0" fontId="3" fillId="0" borderId="6" xfId="0" applyFont="1" applyBorder="1" applyAlignment="1">
      <alignment horizontal="left" wrapText="1"/>
    </xf>
    <xf numFmtId="164" fontId="3" fillId="0" borderId="6" xfId="1" applyNumberFormat="1" applyFont="1" applyFill="1" applyBorder="1"/>
    <xf numFmtId="43" fontId="0" fillId="0" borderId="0" xfId="1" applyFont="1" applyFill="1"/>
    <xf numFmtId="164" fontId="6" fillId="0" borderId="0" xfId="0" applyNumberFormat="1" applyFont="1" applyAlignment="1">
      <alignment horizontal="center" vertical="center"/>
    </xf>
    <xf numFmtId="164" fontId="0" fillId="0" borderId="1" xfId="1" applyNumberFormat="1" applyFont="1" applyFill="1" applyBorder="1"/>
    <xf numFmtId="0" fontId="6" fillId="0" borderId="5" xfId="0" applyFont="1" applyBorder="1" applyAlignment="1">
      <alignment horizontal="center" vertical="center"/>
    </xf>
    <xf numFmtId="0" fontId="6" fillId="0" borderId="5" xfId="0" applyFont="1" applyBorder="1"/>
    <xf numFmtId="0" fontId="0" fillId="0" borderId="5" xfId="0" applyBorder="1" applyAlignment="1">
      <alignment wrapText="1"/>
    </xf>
    <xf numFmtId="43" fontId="6" fillId="0" borderId="5" xfId="1" applyFont="1" applyFill="1" applyBorder="1"/>
    <xf numFmtId="0" fontId="14" fillId="0" borderId="5" xfId="0" applyFont="1" applyBorder="1" applyAlignment="1">
      <alignment horizontal="center" vertical="center"/>
    </xf>
    <xf numFmtId="43" fontId="14" fillId="0" borderId="5" xfId="1" applyFont="1" applyFill="1" applyBorder="1"/>
    <xf numFmtId="0" fontId="0" fillId="0" borderId="6" xfId="0" applyBorder="1" applyAlignment="1">
      <alignment horizontal="center" vertical="center"/>
    </xf>
    <xf numFmtId="0" fontId="0" fillId="0" borderId="6" xfId="0" applyBorder="1"/>
    <xf numFmtId="164" fontId="0" fillId="0" borderId="6" xfId="1" applyNumberFormat="1" applyFont="1" applyFill="1" applyBorder="1"/>
    <xf numFmtId="43" fontId="0" fillId="0" borderId="6" xfId="1" applyFont="1" applyFill="1" applyBorder="1"/>
    <xf numFmtId="164" fontId="6" fillId="4" borderId="1" xfId="1" applyNumberFormat="1" applyFont="1" applyFill="1" applyBorder="1" applyAlignment="1"/>
    <xf numFmtId="164" fontId="6" fillId="4" borderId="1" xfId="1" applyNumberFormat="1" applyFont="1" applyFill="1" applyBorder="1" applyAlignment="1">
      <alignment horizontal="left"/>
    </xf>
    <xf numFmtId="0" fontId="20" fillId="0" borderId="0" xfId="0" applyFont="1" applyAlignment="1">
      <alignment vertical="center"/>
    </xf>
    <xf numFmtId="0" fontId="21" fillId="4" borderId="0" xfId="0" applyFont="1" applyFill="1" applyAlignment="1">
      <alignment vertical="center"/>
    </xf>
    <xf numFmtId="164" fontId="6" fillId="4" borderId="1" xfId="1" applyNumberFormat="1" applyFont="1" applyFill="1" applyBorder="1" applyAlignment="1">
      <alignment horizontal="center" vertical="center" wrapText="1"/>
    </xf>
    <xf numFmtId="0" fontId="21" fillId="4" borderId="0" xfId="0" applyFont="1" applyFill="1" applyAlignment="1">
      <alignment vertical="center" wrapText="1"/>
    </xf>
    <xf numFmtId="164" fontId="20" fillId="4" borderId="1" xfId="0" applyNumberFormat="1" applyFont="1" applyFill="1" applyBorder="1" applyAlignment="1">
      <alignment vertical="center"/>
    </xf>
    <xf numFmtId="0" fontId="20" fillId="4" borderId="1" xfId="0" applyFont="1" applyFill="1" applyBorder="1" applyAlignment="1">
      <alignment horizontal="center" vertical="center" wrapText="1"/>
    </xf>
    <xf numFmtId="164" fontId="14" fillId="4" borderId="5" xfId="1" applyNumberFormat="1" applyFont="1" applyFill="1" applyBorder="1" applyAlignment="1">
      <alignment horizontal="center"/>
    </xf>
    <xf numFmtId="164" fontId="14" fillId="4" borderId="5" xfId="1" applyNumberFormat="1" applyFont="1" applyFill="1" applyBorder="1" applyAlignment="1">
      <alignment horizontal="left"/>
    </xf>
    <xf numFmtId="0" fontId="21" fillId="4" borderId="5" xfId="0" applyFont="1" applyFill="1" applyBorder="1" applyAlignment="1">
      <alignment vertical="center"/>
    </xf>
    <xf numFmtId="165" fontId="21" fillId="4" borderId="5" xfId="0" applyNumberFormat="1" applyFont="1" applyFill="1" applyBorder="1" applyAlignment="1">
      <alignment vertical="center"/>
    </xf>
    <xf numFmtId="164" fontId="14" fillId="4" borderId="5" xfId="1" applyNumberFormat="1" applyFont="1" applyFill="1" applyBorder="1" applyAlignment="1">
      <alignment horizontal="left" vertical="center" wrapText="1"/>
    </xf>
    <xf numFmtId="164" fontId="14" fillId="4" borderId="11" xfId="1" applyNumberFormat="1" applyFont="1" applyFill="1" applyBorder="1" applyAlignment="1">
      <alignment horizontal="center"/>
    </xf>
    <xf numFmtId="164" fontId="14" fillId="4" borderId="11" xfId="1" applyNumberFormat="1" applyFont="1" applyFill="1" applyBorder="1" applyAlignment="1">
      <alignment horizontal="left"/>
    </xf>
    <xf numFmtId="0" fontId="21" fillId="4" borderId="11" xfId="0" applyFont="1" applyFill="1" applyBorder="1" applyAlignment="1">
      <alignment vertical="center"/>
    </xf>
    <xf numFmtId="165" fontId="21" fillId="4" borderId="11" xfId="0" applyNumberFormat="1" applyFont="1" applyFill="1" applyBorder="1" applyAlignment="1">
      <alignment vertical="center"/>
    </xf>
    <xf numFmtId="164" fontId="14" fillId="4" borderId="12" xfId="1" applyNumberFormat="1" applyFont="1" applyFill="1" applyBorder="1" applyAlignment="1">
      <alignment horizontal="center"/>
    </xf>
    <xf numFmtId="164" fontId="14" fillId="4" borderId="12" xfId="1" applyNumberFormat="1" applyFont="1" applyFill="1" applyBorder="1" applyAlignment="1">
      <alignment horizontal="left"/>
    </xf>
    <xf numFmtId="0" fontId="21" fillId="4" borderId="12" xfId="0" applyFont="1" applyFill="1" applyBorder="1" applyAlignment="1">
      <alignment vertical="center"/>
    </xf>
    <xf numFmtId="165" fontId="21" fillId="4" borderId="12" xfId="0" applyNumberFormat="1" applyFont="1" applyFill="1" applyBorder="1" applyAlignment="1">
      <alignment vertical="center"/>
    </xf>
    <xf numFmtId="164" fontId="16" fillId="0" borderId="1" xfId="1" applyNumberFormat="1" applyFont="1" applyFill="1" applyBorder="1" applyAlignment="1">
      <alignment horizontal="center" vertical="center" wrapText="1"/>
    </xf>
    <xf numFmtId="164" fontId="6" fillId="0" borderId="0" xfId="1" applyNumberFormat="1" applyFont="1" applyFill="1" applyAlignment="1">
      <alignment horizontal="center" vertical="center"/>
    </xf>
    <xf numFmtId="164" fontId="6" fillId="0" borderId="1" xfId="1" applyNumberFormat="1" applyFont="1" applyFill="1" applyBorder="1" applyAlignment="1">
      <alignment horizontal="center" vertical="center"/>
    </xf>
    <xf numFmtId="165" fontId="14" fillId="0" borderId="0" xfId="1" applyNumberFormat="1" applyFont="1" applyFill="1" applyAlignment="1">
      <alignment horizontal="center" vertical="center"/>
    </xf>
    <xf numFmtId="165" fontId="6" fillId="0" borderId="0" xfId="1" applyNumberFormat="1" applyFont="1" applyFill="1" applyAlignment="1">
      <alignment horizontal="center" vertical="center"/>
    </xf>
    <xf numFmtId="165" fontId="16" fillId="0" borderId="1" xfId="1" applyNumberFormat="1" applyFont="1" applyFill="1" applyBorder="1" applyAlignment="1">
      <alignment horizontal="center" vertical="center" wrapText="1"/>
    </xf>
    <xf numFmtId="165" fontId="14" fillId="0" borderId="1" xfId="1" applyNumberFormat="1" applyFont="1" applyFill="1" applyBorder="1" applyAlignment="1"/>
    <xf numFmtId="165" fontId="6" fillId="0" borderId="1" xfId="1" applyNumberFormat="1" applyFont="1" applyFill="1" applyBorder="1" applyAlignment="1"/>
    <xf numFmtId="165" fontId="14" fillId="0" borderId="0" xfId="1" applyNumberFormat="1" applyFont="1" applyFill="1" applyAlignment="1"/>
    <xf numFmtId="164" fontId="18" fillId="0" borderId="0" xfId="0" applyNumberFormat="1" applyFont="1" applyAlignment="1">
      <alignment vertical="center"/>
    </xf>
    <xf numFmtId="164" fontId="6" fillId="0" borderId="0" xfId="1" applyNumberFormat="1" applyFont="1" applyFill="1" applyAlignment="1">
      <alignment vertical="center"/>
    </xf>
    <xf numFmtId="164" fontId="14" fillId="0" borderId="11" xfId="1" applyNumberFormat="1" applyFont="1" applyFill="1" applyBorder="1" applyAlignment="1">
      <alignment horizontal="center"/>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right" vertical="center"/>
    </xf>
    <xf numFmtId="0" fontId="20"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center" wrapText="1"/>
    </xf>
    <xf numFmtId="164" fontId="6" fillId="0" borderId="0" xfId="1" applyNumberFormat="1" applyFont="1" applyFill="1" applyAlignment="1">
      <alignment horizontal="left"/>
    </xf>
    <xf numFmtId="165" fontId="6" fillId="0" borderId="0" xfId="1" applyNumberFormat="1" applyFont="1" applyFill="1" applyAlignment="1"/>
    <xf numFmtId="0" fontId="23" fillId="0" borderId="5" xfId="0" applyFont="1" applyBorder="1" applyAlignment="1">
      <alignment horizontal="center"/>
    </xf>
    <xf numFmtId="49" fontId="23" fillId="0" borderId="5" xfId="0" applyNumberFormat="1" applyFont="1" applyBorder="1"/>
    <xf numFmtId="164" fontId="23" fillId="0" borderId="5" xfId="1" applyNumberFormat="1" applyFont="1" applyFill="1" applyBorder="1"/>
    <xf numFmtId="164" fontId="23" fillId="0" borderId="5" xfId="0" applyNumberFormat="1" applyFont="1" applyBorder="1"/>
    <xf numFmtId="0" fontId="23" fillId="0" borderId="5" xfId="0" applyFont="1" applyBorder="1"/>
    <xf numFmtId="0" fontId="23" fillId="0" borderId="0" xfId="0" applyFont="1"/>
    <xf numFmtId="164" fontId="23" fillId="0" borderId="0" xfId="0" applyNumberFormat="1" applyFont="1"/>
    <xf numFmtId="164" fontId="14" fillId="0" borderId="0" xfId="1" applyNumberFormat="1" applyFont="1" applyFill="1" applyAlignment="1">
      <alignment horizontal="right"/>
    </xf>
    <xf numFmtId="164" fontId="6" fillId="0" borderId="0" xfId="1" applyNumberFormat="1" applyFont="1" applyFill="1" applyBorder="1" applyAlignment="1">
      <alignment vertical="center"/>
    </xf>
    <xf numFmtId="164" fontId="15" fillId="0" borderId="0" xfId="1" applyNumberFormat="1" applyFont="1" applyFill="1" applyAlignment="1">
      <alignment horizontal="right" vertical="center"/>
    </xf>
    <xf numFmtId="164" fontId="14" fillId="0" borderId="1" xfId="1" applyNumberFormat="1" applyFont="1" applyFill="1" applyBorder="1" applyAlignment="1"/>
    <xf numFmtId="0" fontId="18" fillId="0" borderId="0" xfId="0" applyFont="1" applyAlignment="1">
      <alignment horizontal="right" vertical="center" wrapText="1"/>
    </xf>
    <xf numFmtId="0" fontId="22" fillId="0" borderId="1" xfId="0" applyFont="1" applyBorder="1" applyAlignment="1">
      <alignment horizontal="center" vertical="center" wrapText="1"/>
    </xf>
    <xf numFmtId="0" fontId="0" fillId="0" borderId="0" xfId="0" applyAlignment="1">
      <alignment vertical="center" wrapText="1"/>
    </xf>
    <xf numFmtId="0" fontId="6" fillId="0" borderId="7" xfId="0" applyFont="1" applyBorder="1" applyAlignment="1">
      <alignment horizontal="center" vertical="center" wrapText="1"/>
    </xf>
    <xf numFmtId="0" fontId="24" fillId="0" borderId="0" xfId="0" applyFont="1"/>
    <xf numFmtId="0" fontId="7" fillId="0" borderId="0" xfId="0" applyFont="1"/>
    <xf numFmtId="164" fontId="7" fillId="0" borderId="0" xfId="1" applyNumberFormat="1" applyFont="1" applyFill="1"/>
    <xf numFmtId="0" fontId="25" fillId="0" borderId="0" xfId="0" applyFont="1" applyAlignment="1">
      <alignment horizontal="center"/>
    </xf>
    <xf numFmtId="0" fontId="25" fillId="0" borderId="0" xfId="0" applyFont="1"/>
    <xf numFmtId="164" fontId="25" fillId="0" borderId="0" xfId="0" applyNumberFormat="1" applyFont="1" applyAlignment="1">
      <alignment horizontal="center"/>
    </xf>
    <xf numFmtId="164" fontId="25" fillId="0" borderId="0" xfId="1" applyNumberFormat="1" applyFont="1" applyFill="1" applyBorder="1"/>
    <xf numFmtId="164" fontId="26" fillId="0" borderId="0" xfId="1" applyNumberFormat="1" applyFont="1" applyFill="1" applyBorder="1" applyAlignment="1"/>
    <xf numFmtId="164" fontId="26" fillId="0" borderId="0" xfId="1" applyNumberFormat="1" applyFont="1" applyFill="1" applyAlignment="1"/>
    <xf numFmtId="0" fontId="26" fillId="0" borderId="0" xfId="0" applyFont="1"/>
    <xf numFmtId="0" fontId="26" fillId="0" borderId="0" xfId="0" applyFont="1" applyAlignment="1">
      <alignment horizontal="center"/>
    </xf>
    <xf numFmtId="9" fontId="7" fillId="0" borderId="0" xfId="2" applyFont="1" applyFill="1"/>
    <xf numFmtId="164" fontId="7" fillId="0" borderId="8" xfId="1" applyNumberFormat="1" applyFont="1" applyFill="1" applyBorder="1" applyAlignment="1"/>
    <xf numFmtId="164" fontId="7" fillId="0" borderId="0" xfId="0" applyNumberFormat="1" applyFont="1"/>
    <xf numFmtId="164" fontId="24" fillId="0" borderId="1" xfId="1" applyNumberFormat="1" applyFont="1" applyFill="1" applyBorder="1" applyAlignment="1">
      <alignment horizontal="center" vertical="center" wrapText="1"/>
    </xf>
    <xf numFmtId="164" fontId="24" fillId="0" borderId="0" xfId="1" applyNumberFormat="1" applyFont="1" applyFill="1" applyBorder="1" applyAlignment="1">
      <alignment horizontal="center"/>
    </xf>
    <xf numFmtId="164" fontId="24" fillId="0" borderId="0" xfId="1" applyNumberFormat="1" applyFont="1" applyFill="1"/>
    <xf numFmtId="164" fontId="24" fillId="0" borderId="0" xfId="0" applyNumberFormat="1" applyFont="1"/>
    <xf numFmtId="164" fontId="24" fillId="0" borderId="0" xfId="1" applyNumberFormat="1" applyFont="1" applyFill="1" applyBorder="1" applyAlignment="1">
      <alignment horizontal="center" vertical="center" wrapText="1"/>
    </xf>
    <xf numFmtId="0" fontId="24" fillId="0" borderId="0" xfId="0" applyFont="1" applyAlignment="1">
      <alignment horizontal="center" vertical="center" wrapText="1"/>
    </xf>
    <xf numFmtId="0" fontId="25" fillId="0" borderId="11" xfId="0" applyFont="1" applyBorder="1" applyAlignment="1">
      <alignment horizontal="center" vertical="center" wrapText="1"/>
    </xf>
    <xf numFmtId="164" fontId="25" fillId="0" borderId="11" xfId="1" applyNumberFormat="1" applyFont="1" applyFill="1" applyBorder="1" applyAlignment="1">
      <alignment horizontal="center" vertical="center" wrapText="1"/>
    </xf>
    <xf numFmtId="164" fontId="25" fillId="0" borderId="11" xfId="1" applyNumberFormat="1" applyFont="1" applyFill="1" applyBorder="1"/>
    <xf numFmtId="164" fontId="25" fillId="0" borderId="4" xfId="1" applyNumberFormat="1" applyFont="1" applyFill="1" applyBorder="1" applyAlignment="1">
      <alignment horizontal="center" vertical="center" wrapText="1"/>
    </xf>
    <xf numFmtId="164" fontId="25" fillId="0" borderId="0" xfId="1" applyNumberFormat="1" applyFont="1" applyFill="1"/>
    <xf numFmtId="164" fontId="25" fillId="0" borderId="0" xfId="0" applyNumberFormat="1" applyFont="1"/>
    <xf numFmtId="9" fontId="25" fillId="0" borderId="0" xfId="2" applyFont="1" applyFill="1"/>
    <xf numFmtId="0" fontId="25" fillId="0" borderId="5" xfId="0" applyFont="1" applyBorder="1" applyAlignment="1">
      <alignment horizontal="center" vertical="center" wrapText="1"/>
    </xf>
    <xf numFmtId="164" fontId="25" fillId="0" borderId="5" xfId="1" applyNumberFormat="1" applyFont="1" applyFill="1" applyBorder="1" applyAlignment="1">
      <alignment horizontal="center" vertical="center" wrapText="1"/>
    </xf>
    <xf numFmtId="164" fontId="25" fillId="0" borderId="5" xfId="1" applyNumberFormat="1" applyFont="1" applyFill="1" applyBorder="1"/>
    <xf numFmtId="0" fontId="26" fillId="0" borderId="5" xfId="0" applyFont="1" applyBorder="1" applyAlignment="1">
      <alignment horizontal="center" vertical="center" wrapText="1"/>
    </xf>
    <xf numFmtId="0" fontId="25" fillId="0" borderId="5" xfId="0" applyFont="1" applyBorder="1" applyAlignment="1">
      <alignment horizontal="center"/>
    </xf>
    <xf numFmtId="0" fontId="25" fillId="0" borderId="5" xfId="0" applyFont="1" applyBorder="1"/>
    <xf numFmtId="0" fontId="27" fillId="0" borderId="5" xfId="0" applyFont="1" applyBorder="1" applyAlignment="1">
      <alignment horizontal="center"/>
    </xf>
    <xf numFmtId="0" fontId="27" fillId="0" borderId="5" xfId="0" applyFont="1" applyBorder="1" applyAlignment="1">
      <alignment wrapText="1"/>
    </xf>
    <xf numFmtId="164" fontId="27" fillId="0" borderId="5" xfId="1" applyNumberFormat="1" applyFont="1" applyFill="1" applyBorder="1"/>
    <xf numFmtId="164" fontId="7" fillId="0" borderId="5" xfId="1" applyNumberFormat="1" applyFont="1" applyFill="1" applyBorder="1"/>
    <xf numFmtId="164" fontId="27" fillId="0" borderId="5" xfId="1" applyNumberFormat="1" applyFont="1" applyFill="1" applyBorder="1" applyAlignment="1">
      <alignment horizontal="center" vertical="center" wrapText="1"/>
    </xf>
    <xf numFmtId="164" fontId="27" fillId="0" borderId="11" xfId="1" applyNumberFormat="1" applyFont="1" applyFill="1" applyBorder="1"/>
    <xf numFmtId="164" fontId="27" fillId="0" borderId="0" xfId="1" applyNumberFormat="1" applyFont="1" applyFill="1"/>
    <xf numFmtId="0" fontId="27" fillId="0" borderId="0" xfId="0" applyFont="1"/>
    <xf numFmtId="0" fontId="7" fillId="0" borderId="5" xfId="0" applyFont="1" applyBorder="1" applyAlignment="1">
      <alignment horizontal="center"/>
    </xf>
    <xf numFmtId="0" fontId="7" fillId="0" borderId="5" xfId="0" applyFont="1" applyBorder="1"/>
    <xf numFmtId="9" fontId="27" fillId="0" borderId="0" xfId="2" applyFont="1" applyFill="1"/>
    <xf numFmtId="0" fontId="7" fillId="0" borderId="5" xfId="0" applyFont="1" applyBorder="1" applyAlignment="1">
      <alignment horizontal="left" wrapText="1"/>
    </xf>
    <xf numFmtId="164" fontId="24" fillId="0" borderId="5" xfId="1" applyNumberFormat="1" applyFont="1" applyFill="1" applyBorder="1"/>
    <xf numFmtId="0" fontId="27" fillId="0" borderId="5" xfId="0" applyFont="1" applyBorder="1"/>
    <xf numFmtId="164" fontId="27" fillId="0" borderId="11" xfId="1" applyNumberFormat="1" applyFont="1" applyFill="1" applyBorder="1" applyAlignment="1">
      <alignment horizontal="center" vertical="center" wrapText="1"/>
    </xf>
    <xf numFmtId="164" fontId="27" fillId="0" borderId="12" xfId="1" applyNumberFormat="1" applyFont="1" applyFill="1" applyBorder="1"/>
    <xf numFmtId="164" fontId="24" fillId="0" borderId="6" xfId="1" applyNumberFormat="1" applyFont="1" applyFill="1" applyBorder="1"/>
    <xf numFmtId="164" fontId="7" fillId="0" borderId="6" xfId="1" applyNumberFormat="1" applyFont="1" applyFill="1" applyBorder="1"/>
    <xf numFmtId="164" fontId="24" fillId="0" borderId="3" xfId="1" applyNumberFormat="1" applyFont="1" applyFill="1" applyBorder="1"/>
    <xf numFmtId="164" fontId="24" fillId="0" borderId="14" xfId="1" applyNumberFormat="1" applyFont="1" applyFill="1" applyBorder="1" applyAlignment="1">
      <alignment vertical="center" wrapText="1"/>
    </xf>
    <xf numFmtId="164" fontId="24" fillId="0" borderId="17" xfId="1" applyNumberFormat="1" applyFont="1" applyFill="1" applyBorder="1" applyAlignment="1">
      <alignment vertical="center" wrapText="1"/>
    </xf>
    <xf numFmtId="164" fontId="24" fillId="0" borderId="0" xfId="1" applyNumberFormat="1" applyFont="1" applyFill="1" applyBorder="1" applyAlignment="1">
      <alignment vertical="center" wrapText="1"/>
    </xf>
    <xf numFmtId="164" fontId="24" fillId="0" borderId="19" xfId="1" applyNumberFormat="1" applyFont="1" applyFill="1" applyBorder="1" applyAlignment="1">
      <alignment vertical="center" wrapText="1"/>
    </xf>
    <xf numFmtId="164" fontId="24" fillId="0" borderId="18" xfId="1" applyNumberFormat="1" applyFont="1" applyFill="1" applyBorder="1" applyAlignment="1">
      <alignment vertical="center" wrapText="1"/>
    </xf>
    <xf numFmtId="164" fontId="24" fillId="0" borderId="8" xfId="1" applyNumberFormat="1" applyFont="1" applyFill="1" applyBorder="1" applyAlignment="1">
      <alignment vertical="center" wrapText="1"/>
    </xf>
    <xf numFmtId="164" fontId="24" fillId="0" borderId="15" xfId="1" applyNumberFormat="1" applyFont="1" applyFill="1" applyBorder="1" applyAlignment="1">
      <alignment vertical="center" wrapText="1"/>
    </xf>
    <xf numFmtId="164" fontId="26" fillId="0" borderId="8" xfId="1" applyNumberFormat="1" applyFont="1" applyBorder="1" applyAlignment="1"/>
    <xf numFmtId="164" fontId="15" fillId="0" borderId="0" xfId="1" applyNumberFormat="1" applyFont="1" applyFill="1" applyAlignment="1">
      <alignment horizontal="center"/>
    </xf>
    <xf numFmtId="164" fontId="0" fillId="0" borderId="0" xfId="1" applyNumberFormat="1" applyFont="1" applyFill="1" applyAlignment="1">
      <alignment horizontal="center"/>
    </xf>
    <xf numFmtId="164" fontId="26" fillId="0" borderId="5" xfId="1" applyNumberFormat="1" applyFont="1" applyFill="1" applyBorder="1"/>
    <xf numFmtId="164" fontId="28" fillId="0" borderId="5" xfId="1" applyNumberFormat="1" applyFont="1" applyFill="1" applyBorder="1"/>
    <xf numFmtId="164" fontId="29" fillId="0" borderId="11" xfId="1" applyNumberFormat="1" applyFont="1" applyFill="1" applyBorder="1" applyAlignment="1">
      <alignment horizontal="center" vertical="center" wrapText="1"/>
    </xf>
    <xf numFmtId="164" fontId="26" fillId="0" borderId="5" xfId="1" applyNumberFormat="1" applyFont="1" applyFill="1" applyBorder="1" applyAlignment="1">
      <alignment horizontal="center" vertical="center" wrapText="1"/>
    </xf>
    <xf numFmtId="164" fontId="29" fillId="0" borderId="11" xfId="1" applyNumberFormat="1" applyFont="1" applyFill="1" applyBorder="1"/>
    <xf numFmtId="164" fontId="26" fillId="0" borderId="11" xfId="1" applyNumberFormat="1" applyFont="1" applyFill="1" applyBorder="1"/>
    <xf numFmtId="0" fontId="30" fillId="0" borderId="5" xfId="0" applyFont="1" applyBorder="1" applyAlignment="1">
      <alignment horizontal="center"/>
    </xf>
    <xf numFmtId="0" fontId="30" fillId="0" borderId="5" xfId="0" applyFont="1" applyBorder="1" applyAlignment="1">
      <alignment wrapText="1"/>
    </xf>
    <xf numFmtId="164" fontId="30" fillId="0" borderId="5" xfId="1" applyNumberFormat="1" applyFont="1" applyFill="1" applyBorder="1"/>
    <xf numFmtId="164" fontId="31" fillId="0" borderId="11" xfId="1" applyNumberFormat="1" applyFont="1" applyFill="1" applyBorder="1" applyAlignment="1">
      <alignment horizontal="center" vertical="center" wrapText="1"/>
    </xf>
    <xf numFmtId="164" fontId="30" fillId="0" borderId="5" xfId="1" applyNumberFormat="1" applyFont="1" applyFill="1" applyBorder="1" applyAlignment="1">
      <alignment horizontal="center" vertical="center" wrapText="1"/>
    </xf>
    <xf numFmtId="164" fontId="31" fillId="0" borderId="11" xfId="1" applyNumberFormat="1" applyFont="1" applyFill="1" applyBorder="1"/>
    <xf numFmtId="164" fontId="30" fillId="0" borderId="11" xfId="1" applyNumberFormat="1" applyFont="1" applyFill="1" applyBorder="1"/>
    <xf numFmtId="164" fontId="30" fillId="0" borderId="0" xfId="1" applyNumberFormat="1" applyFont="1" applyFill="1"/>
    <xf numFmtId="164" fontId="30" fillId="0" borderId="0" xfId="0" applyNumberFormat="1" applyFont="1"/>
    <xf numFmtId="0" fontId="30" fillId="0" borderId="0" xfId="0" applyFont="1"/>
    <xf numFmtId="0" fontId="28" fillId="0" borderId="5" xfId="0" applyFont="1" applyBorder="1" applyAlignment="1">
      <alignment horizontal="center"/>
    </xf>
    <xf numFmtId="0" fontId="28" fillId="0" borderId="5" xfId="0" applyFont="1" applyBorder="1"/>
    <xf numFmtId="164" fontId="28" fillId="0" borderId="0" xfId="1" applyNumberFormat="1" applyFont="1" applyFill="1"/>
    <xf numFmtId="0" fontId="28" fillId="0" borderId="0" xfId="0" applyFont="1"/>
    <xf numFmtId="164" fontId="27" fillId="0" borderId="0" xfId="0" applyNumberFormat="1" applyFont="1"/>
    <xf numFmtId="164" fontId="7" fillId="0" borderId="12" xfId="1" applyNumberFormat="1" applyFont="1" applyFill="1" applyBorder="1"/>
    <xf numFmtId="164" fontId="27" fillId="0" borderId="12" xfId="1" applyNumberFormat="1" applyFont="1" applyFill="1" applyBorder="1" applyAlignment="1">
      <alignment horizontal="center" vertical="center" wrapText="1"/>
    </xf>
    <xf numFmtId="164" fontId="27" fillId="0" borderId="7" xfId="1" applyNumberFormat="1" applyFont="1" applyFill="1" applyBorder="1"/>
    <xf numFmtId="0" fontId="0" fillId="0" borderId="1" xfId="0" applyBorder="1"/>
    <xf numFmtId="164" fontId="0" fillId="0" borderId="1" xfId="0" applyNumberFormat="1" applyBorder="1"/>
    <xf numFmtId="164" fontId="9" fillId="2" borderId="0" xfId="0" applyNumberFormat="1" applyFont="1" applyFill="1"/>
    <xf numFmtId="164" fontId="32" fillId="0" borderId="0" xfId="0" applyNumberFormat="1" applyFont="1"/>
    <xf numFmtId="0" fontId="7" fillId="0" borderId="1" xfId="0" applyFont="1" applyBorder="1" applyAlignment="1">
      <alignment wrapText="1"/>
    </xf>
    <xf numFmtId="49" fontId="7" fillId="0" borderId="0" xfId="0" applyNumberFormat="1" applyFont="1"/>
    <xf numFmtId="0" fontId="7" fillId="0" borderId="0" xfId="0" applyFont="1" applyAlignment="1">
      <alignment horizontal="center"/>
    </xf>
    <xf numFmtId="49" fontId="24" fillId="0" borderId="1" xfId="0" applyNumberFormat="1" applyFont="1" applyBorder="1" applyAlignment="1">
      <alignment horizontal="center" vertical="center" wrapText="1"/>
    </xf>
    <xf numFmtId="164" fontId="24" fillId="0" borderId="1" xfId="1" applyNumberFormat="1" applyFont="1" applyBorder="1" applyAlignment="1">
      <alignment horizontal="center" vertical="center" wrapText="1"/>
    </xf>
    <xf numFmtId="0" fontId="25" fillId="0" borderId="1" xfId="0" applyFont="1" applyBorder="1" applyAlignment="1">
      <alignment horizontal="center"/>
    </xf>
    <xf numFmtId="49" fontId="25" fillId="0" borderId="1" xfId="0" applyNumberFormat="1" applyFont="1" applyBorder="1"/>
    <xf numFmtId="164" fontId="25" fillId="0" borderId="1" xfId="1" applyNumberFormat="1" applyFont="1" applyBorder="1"/>
    <xf numFmtId="0" fontId="7" fillId="0" borderId="1" xfId="0" applyFont="1" applyBorder="1" applyAlignment="1">
      <alignment horizontal="center"/>
    </xf>
    <xf numFmtId="49" fontId="7" fillId="0" borderId="1" xfId="0" applyNumberFormat="1" applyFont="1" applyBorder="1"/>
    <xf numFmtId="164" fontId="7" fillId="0" borderId="1" xfId="1" applyNumberFormat="1" applyFont="1" applyBorder="1"/>
    <xf numFmtId="49" fontId="7" fillId="0" borderId="1" xfId="0" applyNumberFormat="1" applyFont="1" applyBorder="1" applyAlignment="1">
      <alignment horizontal="left" wrapText="1"/>
    </xf>
    <xf numFmtId="164" fontId="24" fillId="0" borderId="1" xfId="1" applyNumberFormat="1" applyFont="1" applyBorder="1"/>
    <xf numFmtId="164" fontId="27" fillId="0" borderId="1" xfId="1" applyNumberFormat="1" applyFont="1" applyBorder="1"/>
    <xf numFmtId="0" fontId="7" fillId="0" borderId="3" xfId="0" applyFont="1" applyBorder="1" applyAlignment="1">
      <alignment horizontal="center"/>
    </xf>
    <xf numFmtId="49" fontId="7" fillId="0" borderId="3" xfId="0" applyNumberFormat="1" applyFont="1" applyBorder="1"/>
    <xf numFmtId="164" fontId="7" fillId="0" borderId="3" xfId="1" applyNumberFormat="1" applyFont="1" applyBorder="1"/>
    <xf numFmtId="164" fontId="7" fillId="0" borderId="0" xfId="1" applyNumberFormat="1" applyFont="1"/>
    <xf numFmtId="49" fontId="24"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164" fontId="7" fillId="0" borderId="1" xfId="1" applyNumberFormat="1" applyFont="1" applyBorder="1" applyAlignment="1">
      <alignment horizontal="center" vertical="center" wrapText="1"/>
    </xf>
    <xf numFmtId="49" fontId="24" fillId="0" borderId="1" xfId="0" applyNumberFormat="1" applyFont="1" applyBorder="1"/>
    <xf numFmtId="0" fontId="25" fillId="0" borderId="4" xfId="0" applyFont="1" applyBorder="1" applyAlignment="1">
      <alignment horizontal="center"/>
    </xf>
    <xf numFmtId="49" fontId="25" fillId="0" borderId="4" xfId="0" applyNumberFormat="1" applyFont="1" applyBorder="1"/>
    <xf numFmtId="164" fontId="25" fillId="0" borderId="4" xfId="1" applyNumberFormat="1" applyFont="1" applyBorder="1"/>
    <xf numFmtId="49" fontId="25" fillId="0" borderId="5" xfId="0" applyNumberFormat="1" applyFont="1" applyBorder="1"/>
    <xf numFmtId="164" fontId="25" fillId="0" borderId="5" xfId="1" applyNumberFormat="1" applyFont="1" applyBorder="1"/>
    <xf numFmtId="49" fontId="7" fillId="0" borderId="5" xfId="0" applyNumberFormat="1" applyFont="1" applyBorder="1"/>
    <xf numFmtId="164" fontId="7" fillId="0" borderId="5" xfId="1" applyNumberFormat="1" applyFont="1" applyBorder="1"/>
    <xf numFmtId="49" fontId="7" fillId="0" borderId="5" xfId="0" applyNumberFormat="1" applyFont="1" applyBorder="1" applyAlignment="1">
      <alignment horizontal="left" wrapText="1"/>
    </xf>
    <xf numFmtId="164" fontId="24" fillId="0" borderId="5" xfId="1" applyNumberFormat="1" applyFont="1" applyBorder="1"/>
    <xf numFmtId="164" fontId="27" fillId="0" borderId="5" xfId="1" applyNumberFormat="1" applyFont="1" applyBorder="1"/>
    <xf numFmtId="0" fontId="7" fillId="0" borderId="6" xfId="0" applyFont="1" applyBorder="1" applyAlignment="1">
      <alignment horizontal="center"/>
    </xf>
    <xf numFmtId="49" fontId="7" fillId="0" borderId="6" xfId="0" applyNumberFormat="1" applyFont="1" applyBorder="1"/>
    <xf numFmtId="164" fontId="7" fillId="0" borderId="6" xfId="1" applyNumberFormat="1" applyFont="1" applyBorder="1"/>
    <xf numFmtId="49" fontId="7" fillId="0" borderId="0" xfId="0" applyNumberFormat="1" applyFont="1" applyAlignment="1">
      <alignment vertical="center"/>
    </xf>
    <xf numFmtId="0" fontId="24" fillId="0" borderId="0" xfId="0" applyFont="1" applyAlignment="1">
      <alignment vertical="center"/>
    </xf>
    <xf numFmtId="164" fontId="7" fillId="0" borderId="0" xfId="1" applyNumberFormat="1" applyFont="1" applyAlignment="1">
      <alignment horizontal="right" vertical="center"/>
    </xf>
    <xf numFmtId="0" fontId="7" fillId="0" borderId="0" xfId="0" applyFont="1" applyAlignment="1">
      <alignment vertical="center"/>
    </xf>
    <xf numFmtId="164" fontId="7" fillId="0" borderId="0" xfId="1" applyNumberFormat="1"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166" fontId="0" fillId="0" borderId="5" xfId="1" applyNumberFormat="1" applyFont="1" applyFill="1" applyBorder="1" applyAlignment="1">
      <alignment wrapText="1"/>
    </xf>
    <xf numFmtId="164" fontId="0" fillId="0" borderId="0" xfId="1" applyNumberFormat="1" applyFont="1" applyFill="1" applyAlignment="1">
      <alignment horizontal="right" vertical="center"/>
    </xf>
    <xf numFmtId="0" fontId="3" fillId="0" borderId="1" xfId="0" applyFont="1" applyBorder="1" applyAlignment="1">
      <alignment horizontal="center" vertical="center"/>
    </xf>
    <xf numFmtId="164" fontId="3" fillId="0" borderId="1" xfId="1" applyNumberFormat="1" applyFont="1" applyFill="1" applyBorder="1" applyAlignment="1">
      <alignment vertical="center"/>
    </xf>
    <xf numFmtId="164" fontId="3" fillId="0" borderId="1" xfId="0" applyNumberFormat="1" applyFont="1" applyBorder="1" applyAlignment="1">
      <alignment vertical="center"/>
    </xf>
    <xf numFmtId="9" fontId="3" fillId="0" borderId="1" xfId="2" applyFont="1" applyFill="1" applyBorder="1" applyAlignment="1">
      <alignment vertical="center"/>
    </xf>
    <xf numFmtId="164" fontId="3" fillId="0" borderId="4" xfId="1" applyNumberFormat="1" applyFont="1" applyFill="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164" fontId="3" fillId="0" borderId="5" xfId="1" applyNumberFormat="1" applyFont="1" applyFill="1" applyBorder="1" applyAlignment="1">
      <alignment vertical="center"/>
    </xf>
    <xf numFmtId="0" fontId="0" fillId="0" borderId="1" xfId="0" applyBorder="1" applyAlignment="1">
      <alignment vertical="center"/>
    </xf>
    <xf numFmtId="164" fontId="0" fillId="0" borderId="1" xfId="1" applyNumberFormat="1" applyFont="1" applyFill="1" applyBorder="1" applyAlignment="1">
      <alignment vertical="center"/>
    </xf>
    <xf numFmtId="164" fontId="5" fillId="0" borderId="1" xfId="0" applyNumberFormat="1" applyFont="1" applyBorder="1" applyAlignment="1">
      <alignment vertical="center"/>
    </xf>
    <xf numFmtId="164" fontId="0" fillId="0" borderId="5" xfId="1" applyNumberFormat="1" applyFont="1" applyFill="1" applyBorder="1" applyAlignment="1">
      <alignment vertical="center"/>
    </xf>
    <xf numFmtId="49" fontId="5" fillId="0" borderId="1" xfId="0" applyNumberFormat="1" applyFont="1" applyBorder="1" applyAlignment="1">
      <alignment horizontal="left" vertical="center" wrapText="1"/>
    </xf>
    <xf numFmtId="9" fontId="0" fillId="0" borderId="1" xfId="2" applyFont="1" applyFill="1" applyBorder="1" applyAlignment="1">
      <alignment vertical="center"/>
    </xf>
    <xf numFmtId="164" fontId="0" fillId="0" borderId="1" xfId="0" applyNumberFormat="1" applyBorder="1" applyAlignment="1">
      <alignment vertical="center"/>
    </xf>
    <xf numFmtId="9" fontId="5" fillId="0" borderId="1" xfId="2" applyFont="1" applyFill="1" applyBorder="1" applyAlignment="1">
      <alignment vertical="center"/>
    </xf>
    <xf numFmtId="164" fontId="0" fillId="0" borderId="0" xfId="1" applyNumberFormat="1" applyFont="1" applyFill="1" applyAlignment="1">
      <alignment vertical="center"/>
    </xf>
    <xf numFmtId="164" fontId="0" fillId="0" borderId="0" xfId="0" applyNumberFormat="1" applyAlignment="1">
      <alignment vertical="center"/>
    </xf>
    <xf numFmtId="0" fontId="0" fillId="0" borderId="1" xfId="0" quotePrefix="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164" fontId="4" fillId="0" borderId="1" xfId="1" applyNumberFormat="1" applyFont="1" applyFill="1" applyBorder="1" applyAlignment="1">
      <alignment vertical="center"/>
    </xf>
    <xf numFmtId="164" fontId="4" fillId="0" borderId="1" xfId="0" applyNumberFormat="1" applyFont="1" applyBorder="1" applyAlignment="1">
      <alignment vertical="center"/>
    </xf>
    <xf numFmtId="164" fontId="4" fillId="0" borderId="0" xfId="1" applyNumberFormat="1" applyFont="1" applyFill="1" applyAlignment="1">
      <alignment vertical="center"/>
    </xf>
    <xf numFmtId="0" fontId="4" fillId="0" borderId="0" xfId="0" applyFont="1" applyAlignment="1">
      <alignment vertical="center"/>
    </xf>
    <xf numFmtId="49" fontId="4" fillId="0" borderId="1" xfId="0" applyNumberFormat="1" applyFont="1" applyBorder="1" applyAlignment="1">
      <alignment vertical="center"/>
    </xf>
    <xf numFmtId="49" fontId="4" fillId="0" borderId="1" xfId="0" applyNumberFormat="1" applyFont="1" applyBorder="1" applyAlignment="1">
      <alignment horizontal="left" vertical="center" wrapText="1"/>
    </xf>
    <xf numFmtId="0" fontId="0" fillId="0" borderId="1" xfId="0" applyBorder="1" applyAlignment="1">
      <alignment horizontal="left" vertical="center" wrapText="1"/>
    </xf>
    <xf numFmtId="164" fontId="6" fillId="0" borderId="1" xfId="1" applyNumberFormat="1" applyFont="1" applyFill="1" applyBorder="1" applyAlignment="1">
      <alignment vertical="center"/>
    </xf>
    <xf numFmtId="164" fontId="6" fillId="0" borderId="1" xfId="0" applyNumberFormat="1" applyFont="1" applyBorder="1" applyAlignment="1">
      <alignment vertical="center"/>
    </xf>
    <xf numFmtId="0" fontId="3" fillId="0" borderId="1" xfId="0" applyFont="1" applyBorder="1" applyAlignment="1">
      <alignment horizontal="left" vertical="center" wrapText="1"/>
    </xf>
    <xf numFmtId="164" fontId="3" fillId="0" borderId="0" xfId="1" applyNumberFormat="1" applyFont="1" applyFill="1" applyAlignment="1">
      <alignment vertical="center"/>
    </xf>
    <xf numFmtId="167" fontId="35" fillId="0" borderId="1" xfId="0" applyNumberFormat="1" applyFont="1" applyBorder="1" applyAlignment="1">
      <alignment horizontal="right" vertical="center" wrapText="1"/>
    </xf>
    <xf numFmtId="0" fontId="24" fillId="0" borderId="3" xfId="0" applyFont="1" applyBorder="1" applyAlignment="1">
      <alignment horizontal="center"/>
    </xf>
    <xf numFmtId="0" fontId="24" fillId="0" borderId="3" xfId="0" applyFont="1" applyBorder="1"/>
    <xf numFmtId="164" fontId="7" fillId="0" borderId="3" xfId="1" applyNumberFormat="1" applyFont="1" applyFill="1" applyBorder="1"/>
    <xf numFmtId="0" fontId="7" fillId="0" borderId="6" xfId="0" applyFont="1" applyBorder="1" applyAlignment="1">
      <alignment wrapText="1"/>
    </xf>
    <xf numFmtId="164" fontId="27" fillId="0" borderId="6" xfId="1"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xf numFmtId="164" fontId="14" fillId="2" borderId="5" xfId="1" applyNumberFormat="1" applyFont="1" applyFill="1" applyBorder="1"/>
    <xf numFmtId="43" fontId="14" fillId="2" borderId="5" xfId="1" applyFont="1" applyFill="1" applyBorder="1"/>
    <xf numFmtId="43" fontId="0" fillId="2" borderId="5" xfId="1" applyFont="1" applyFill="1" applyBorder="1"/>
    <xf numFmtId="164" fontId="0" fillId="2" borderId="5" xfId="1" applyNumberFormat="1" applyFont="1" applyFill="1" applyBorder="1"/>
    <xf numFmtId="0" fontId="14" fillId="2" borderId="0" xfId="0" applyFont="1" applyFill="1"/>
    <xf numFmtId="164" fontId="37" fillId="0" borderId="0" xfId="3" applyNumberFormat="1" applyFont="1" applyFill="1"/>
    <xf numFmtId="164" fontId="38" fillId="0" borderId="0" xfId="3" applyNumberFormat="1" applyFont="1" applyFill="1"/>
    <xf numFmtId="164" fontId="39" fillId="0" borderId="0" xfId="3" applyNumberFormat="1" applyFont="1" applyFill="1"/>
    <xf numFmtId="164" fontId="40" fillId="0" borderId="0" xfId="3" applyNumberFormat="1" applyFont="1" applyFill="1"/>
    <xf numFmtId="164" fontId="41" fillId="0" borderId="0" xfId="3" applyNumberFormat="1" applyFont="1" applyFill="1"/>
    <xf numFmtId="164" fontId="42" fillId="0" borderId="0" xfId="3" applyNumberFormat="1" applyFont="1" applyFill="1"/>
    <xf numFmtId="164" fontId="36" fillId="0" borderId="0" xfId="3" applyNumberFormat="1" applyFont="1" applyFill="1"/>
    <xf numFmtId="164" fontId="43" fillId="0" borderId="1" xfId="3" applyNumberFormat="1" applyFont="1" applyFill="1" applyBorder="1"/>
    <xf numFmtId="164" fontId="39" fillId="0" borderId="1" xfId="3" applyNumberFormat="1" applyFont="1" applyFill="1" applyBorder="1"/>
    <xf numFmtId="164" fontId="1" fillId="0" borderId="0" xfId="3" applyNumberFormat="1" applyFont="1" applyFill="1" applyAlignment="1">
      <alignment horizontal="center" vertical="center" wrapText="1"/>
    </xf>
    <xf numFmtId="164" fontId="39" fillId="0" borderId="1" xfId="3" applyNumberFormat="1" applyFont="1" applyFill="1" applyBorder="1" applyAlignment="1">
      <alignment horizontal="center" vertical="center" wrapText="1"/>
    </xf>
    <xf numFmtId="164" fontId="43" fillId="0" borderId="1" xfId="3" applyNumberFormat="1" applyFont="1" applyFill="1" applyBorder="1" applyAlignment="1">
      <alignment horizontal="center" vertical="center" wrapText="1"/>
    </xf>
    <xf numFmtId="164" fontId="37" fillId="0" borderId="1" xfId="3" applyNumberFormat="1" applyFont="1" applyFill="1" applyBorder="1" applyAlignment="1">
      <alignment horizontal="left" vertical="center" wrapText="1"/>
    </xf>
    <xf numFmtId="164" fontId="44" fillId="0" borderId="1" xfId="3" applyNumberFormat="1" applyFont="1" applyFill="1" applyBorder="1" applyAlignment="1">
      <alignment horizontal="left" vertical="center" wrapText="1"/>
    </xf>
    <xf numFmtId="164" fontId="45" fillId="0" borderId="1" xfId="3" applyNumberFormat="1" applyFont="1" applyFill="1" applyBorder="1" applyAlignment="1">
      <alignment horizontal="center" vertical="center" wrapText="1"/>
    </xf>
    <xf numFmtId="164" fontId="37" fillId="0" borderId="1" xfId="3" applyNumberFormat="1" applyFont="1" applyFill="1" applyBorder="1" applyAlignment="1">
      <alignment horizontal="left"/>
    </xf>
    <xf numFmtId="164" fontId="39" fillId="0" borderId="1" xfId="3" applyNumberFormat="1" applyFont="1" applyFill="1" applyBorder="1" applyAlignment="1">
      <alignment horizontal="center"/>
    </xf>
    <xf numFmtId="164" fontId="37" fillId="0" borderId="1" xfId="3" applyNumberFormat="1" applyFont="1" applyFill="1" applyBorder="1" applyAlignment="1">
      <alignment horizontal="left" wrapText="1"/>
    </xf>
    <xf numFmtId="164" fontId="36" fillId="0" borderId="1" xfId="3" applyNumberFormat="1" applyFont="1" applyFill="1" applyBorder="1"/>
    <xf numFmtId="164" fontId="36" fillId="0" borderId="1" xfId="3" applyNumberFormat="1" applyFont="1" applyFill="1" applyBorder="1" applyAlignment="1">
      <alignment horizontal="center"/>
    </xf>
    <xf numFmtId="164" fontId="36" fillId="0" borderId="1" xfId="3" applyNumberFormat="1" applyFont="1" applyFill="1" applyBorder="1" applyAlignment="1">
      <alignment horizontal="center" vertical="center" wrapText="1"/>
    </xf>
    <xf numFmtId="164" fontId="1" fillId="0" borderId="0" xfId="3" applyNumberFormat="1" applyFont="1" applyFill="1"/>
    <xf numFmtId="164" fontId="1" fillId="0" borderId="1" xfId="3" applyNumberFormat="1" applyFont="1" applyFill="1" applyBorder="1" applyAlignment="1">
      <alignment horizontal="left"/>
    </xf>
    <xf numFmtId="164" fontId="1" fillId="0" borderId="1" xfId="3" applyNumberFormat="1" applyFont="1" applyFill="1" applyBorder="1" applyAlignment="1">
      <alignment horizontal="center"/>
    </xf>
    <xf numFmtId="164" fontId="1" fillId="0" borderId="1" xfId="3" applyNumberFormat="1" applyFont="1" applyFill="1" applyBorder="1"/>
    <xf numFmtId="164" fontId="36" fillId="0" borderId="1" xfId="3" applyNumberFormat="1" applyFont="1" applyFill="1" applyBorder="1" applyAlignment="1">
      <alignment horizontal="left"/>
    </xf>
    <xf numFmtId="164" fontId="1" fillId="0" borderId="1" xfId="3" applyNumberFormat="1" applyFont="1" applyFill="1" applyBorder="1" applyAlignment="1">
      <alignment horizontal="left" vertical="center" wrapText="1"/>
    </xf>
    <xf numFmtId="164" fontId="1" fillId="0" borderId="1" xfId="3" applyNumberFormat="1" applyFont="1" applyFill="1" applyBorder="1" applyAlignment="1">
      <alignment horizontal="center" vertical="center" wrapText="1"/>
    </xf>
    <xf numFmtId="164" fontId="43" fillId="0" borderId="0" xfId="3" applyNumberFormat="1" applyFont="1" applyFill="1"/>
    <xf numFmtId="164" fontId="46" fillId="0" borderId="0" xfId="3" applyNumberFormat="1" applyFont="1" applyFill="1"/>
    <xf numFmtId="164" fontId="36" fillId="0" borderId="0" xfId="3" applyNumberFormat="1" applyFont="1" applyFill="1" applyAlignment="1"/>
    <xf numFmtId="164" fontId="27" fillId="0" borderId="1" xfId="0" applyNumberFormat="1" applyFont="1" applyBorder="1"/>
    <xf numFmtId="164" fontId="27" fillId="0" borderId="1" xfId="1" applyNumberFormat="1" applyFont="1" applyFill="1" applyBorder="1"/>
    <xf numFmtId="0" fontId="27" fillId="0" borderId="1" xfId="0" applyFont="1" applyBorder="1"/>
    <xf numFmtId="164" fontId="7" fillId="0" borderId="1" xfId="0" applyNumberFormat="1" applyFont="1" applyBorder="1"/>
    <xf numFmtId="0" fontId="7" fillId="0" borderId="1" xfId="0" applyFont="1" applyBorder="1"/>
    <xf numFmtId="164" fontId="24" fillId="0" borderId="1" xfId="0" applyNumberFormat="1" applyFont="1" applyBorder="1"/>
    <xf numFmtId="168" fontId="0" fillId="0" borderId="0" xfId="1" applyNumberFormat="1" applyFont="1" applyFill="1"/>
    <xf numFmtId="167" fontId="48" fillId="0" borderId="1" xfId="0" applyNumberFormat="1" applyFont="1" applyBorder="1" applyAlignment="1">
      <alignment horizontal="right" vertical="center" wrapText="1"/>
    </xf>
    <xf numFmtId="164" fontId="49" fillId="0" borderId="5" xfId="1" applyNumberFormat="1" applyFont="1" applyFill="1" applyBorder="1"/>
    <xf numFmtId="0" fontId="49" fillId="0" borderId="5" xfId="0" applyFont="1" applyBorder="1" applyAlignment="1">
      <alignment wrapText="1"/>
    </xf>
    <xf numFmtId="0" fontId="49" fillId="0" borderId="5" xfId="0" applyFont="1" applyBorder="1" applyAlignment="1">
      <alignment horizontal="center" vertical="center"/>
    </xf>
    <xf numFmtId="0" fontId="49" fillId="0" borderId="5" xfId="0" applyFont="1" applyBorder="1"/>
    <xf numFmtId="43" fontId="49" fillId="0" borderId="5" xfId="1" applyFont="1" applyFill="1" applyBorder="1"/>
    <xf numFmtId="0" fontId="49" fillId="0" borderId="0" xfId="0" applyFont="1"/>
    <xf numFmtId="166" fontId="49" fillId="0" borderId="5" xfId="1" applyNumberFormat="1" applyFont="1" applyFill="1" applyBorder="1" applyAlignment="1">
      <alignment wrapText="1"/>
    </xf>
    <xf numFmtId="0" fontId="50" fillId="0" borderId="5" xfId="0" applyFont="1" applyBorder="1" applyAlignment="1">
      <alignment wrapText="1"/>
    </xf>
    <xf numFmtId="164" fontId="49" fillId="0" borderId="5" xfId="0" applyNumberFormat="1" applyFont="1" applyBorder="1"/>
    <xf numFmtId="164" fontId="0" fillId="0" borderId="6" xfId="0" applyNumberFormat="1" applyBorder="1"/>
    <xf numFmtId="0" fontId="52" fillId="0" borderId="0" xfId="0" applyFont="1"/>
    <xf numFmtId="164" fontId="53" fillId="0" borderId="5" xfId="1" applyNumberFormat="1" applyFont="1" applyFill="1" applyBorder="1"/>
    <xf numFmtId="164" fontId="6" fillId="0" borderId="5" xfId="0" applyNumberFormat="1" applyFont="1" applyBorder="1"/>
    <xf numFmtId="0" fontId="0" fillId="0" borderId="5" xfId="0" applyFill="1" applyBorder="1" applyAlignment="1">
      <alignment horizontal="center" vertical="center"/>
    </xf>
    <xf numFmtId="0" fontId="0" fillId="0" borderId="5" xfId="0" applyFill="1" applyBorder="1" applyAlignment="1">
      <alignment wrapText="1"/>
    </xf>
    <xf numFmtId="164" fontId="0" fillId="0" borderId="5" xfId="0" applyNumberFormat="1" applyFill="1" applyBorder="1"/>
    <xf numFmtId="0" fontId="0" fillId="0" borderId="0" xfId="0" applyFill="1"/>
    <xf numFmtId="0" fontId="25" fillId="0" borderId="0" xfId="0" applyFont="1" applyAlignment="1">
      <alignment horizontal="center"/>
    </xf>
    <xf numFmtId="0" fontId="26" fillId="0" borderId="0" xfId="0" applyFont="1" applyAlignment="1">
      <alignment horizontal="center"/>
    </xf>
    <xf numFmtId="164" fontId="26" fillId="0" borderId="8" xfId="1" applyNumberFormat="1" applyFont="1" applyBorder="1" applyAlignment="1">
      <alignment horizontal="right"/>
    </xf>
    <xf numFmtId="0" fontId="24" fillId="0" borderId="0" xfId="0" applyFont="1" applyAlignment="1">
      <alignment horizontal="left" vertical="center"/>
    </xf>
    <xf numFmtId="164" fontId="26" fillId="0" borderId="8" xfId="1" applyNumberFormat="1" applyFont="1" applyBorder="1" applyAlignment="1">
      <alignment horizontal="center"/>
    </xf>
    <xf numFmtId="164" fontId="24" fillId="0" borderId="1" xfId="1" applyNumberFormat="1" applyFont="1" applyFill="1" applyBorder="1" applyAlignment="1">
      <alignment horizontal="center" vertical="center" wrapText="1"/>
    </xf>
    <xf numFmtId="164" fontId="7" fillId="0" borderId="8" xfId="1" applyNumberFormat="1" applyFont="1" applyFill="1" applyBorder="1" applyAlignment="1">
      <alignment horizontal="right"/>
    </xf>
    <xf numFmtId="164" fontId="24" fillId="0" borderId="1" xfId="1" applyNumberFormat="1" applyFont="1" applyFill="1" applyBorder="1" applyAlignment="1">
      <alignment horizontal="center"/>
    </xf>
    <xf numFmtId="164" fontId="24" fillId="0" borderId="2" xfId="1" applyNumberFormat="1" applyFont="1" applyFill="1" applyBorder="1" applyAlignment="1">
      <alignment horizontal="center" vertical="center" wrapText="1"/>
    </xf>
    <xf numFmtId="164" fontId="24" fillId="0" borderId="3" xfId="1" applyNumberFormat="1" applyFont="1" applyFill="1" applyBorder="1" applyAlignment="1">
      <alignment horizontal="center" vertical="center" wrapText="1"/>
    </xf>
    <xf numFmtId="0" fontId="24" fillId="0" borderId="1" xfId="0" applyFont="1" applyBorder="1" applyAlignment="1">
      <alignment horizontal="center" vertical="center" wrapText="1"/>
    </xf>
    <xf numFmtId="164" fontId="43" fillId="0" borderId="2" xfId="3" applyNumberFormat="1" applyFont="1" applyFill="1" applyBorder="1" applyAlignment="1">
      <alignment horizontal="center" vertical="center" wrapText="1"/>
    </xf>
    <xf numFmtId="164" fontId="43" fillId="0" borderId="7" xfId="3" applyNumberFormat="1" applyFont="1" applyFill="1" applyBorder="1" applyAlignment="1">
      <alignment horizontal="center" vertical="center" wrapText="1"/>
    </xf>
    <xf numFmtId="164" fontId="43" fillId="0" borderId="3" xfId="3" applyNumberFormat="1" applyFont="1" applyFill="1" applyBorder="1" applyAlignment="1">
      <alignment horizontal="center" vertical="center" wrapText="1"/>
    </xf>
    <xf numFmtId="164" fontId="37" fillId="0" borderId="0" xfId="3" applyNumberFormat="1" applyFont="1" applyFill="1" applyAlignment="1">
      <alignment horizontal="center"/>
    </xf>
    <xf numFmtId="164" fontId="1" fillId="0" borderId="0" xfId="3" applyNumberFormat="1" applyFont="1" applyFill="1" applyAlignment="1">
      <alignment horizontal="left"/>
    </xf>
    <xf numFmtId="164" fontId="38" fillId="0" borderId="0" xfId="3" applyNumberFormat="1" applyFont="1" applyFill="1" applyAlignment="1">
      <alignment horizontal="center"/>
    </xf>
    <xf numFmtId="164" fontId="36" fillId="0" borderId="0" xfId="3" applyNumberFormat="1" applyFont="1" applyFill="1" applyAlignment="1">
      <alignment horizontal="left"/>
    </xf>
    <xf numFmtId="164" fontId="47" fillId="0" borderId="8" xfId="3" applyNumberFormat="1" applyFont="1" applyFill="1" applyBorder="1" applyAlignment="1">
      <alignment horizontal="center"/>
    </xf>
    <xf numFmtId="164" fontId="43" fillId="0" borderId="1" xfId="3" applyNumberFormat="1" applyFont="1" applyFill="1" applyBorder="1" applyAlignment="1">
      <alignment horizontal="center"/>
    </xf>
    <xf numFmtId="164" fontId="43" fillId="0" borderId="9" xfId="3" applyNumberFormat="1" applyFont="1" applyFill="1" applyBorder="1" applyAlignment="1">
      <alignment horizontal="center" vertical="center"/>
    </xf>
    <xf numFmtId="164" fontId="43" fillId="0" borderId="10" xfId="3" applyNumberFormat="1" applyFont="1" applyFill="1" applyBorder="1" applyAlignment="1">
      <alignment horizontal="center" vertical="center"/>
    </xf>
    <xf numFmtId="164" fontId="43" fillId="0" borderId="9" xfId="3" applyNumberFormat="1" applyFont="1" applyFill="1" applyBorder="1" applyAlignment="1">
      <alignment horizontal="center" vertical="center" wrapText="1"/>
    </xf>
    <xf numFmtId="164" fontId="43" fillId="0" borderId="13" xfId="3" applyNumberFormat="1" applyFont="1" applyFill="1" applyBorder="1" applyAlignment="1">
      <alignment horizontal="center" vertical="center" wrapText="1"/>
    </xf>
    <xf numFmtId="164" fontId="43" fillId="0" borderId="10" xfId="3" applyNumberFormat="1" applyFont="1" applyFill="1" applyBorder="1" applyAlignment="1">
      <alignment horizontal="center" vertical="center" wrapText="1"/>
    </xf>
    <xf numFmtId="164" fontId="43" fillId="0" borderId="16" xfId="3" applyNumberFormat="1" applyFont="1" applyFill="1" applyBorder="1" applyAlignment="1">
      <alignment horizontal="center" vertical="center"/>
    </xf>
    <xf numFmtId="164" fontId="43" fillId="0" borderId="17" xfId="3" applyNumberFormat="1" applyFont="1" applyFill="1" applyBorder="1" applyAlignment="1">
      <alignment horizontal="center" vertical="center"/>
    </xf>
    <xf numFmtId="164" fontId="43" fillId="0" borderId="1" xfId="3" applyNumberFormat="1" applyFont="1" applyFill="1" applyBorder="1" applyAlignment="1">
      <alignment horizontal="center" vertical="center" wrapText="1"/>
    </xf>
    <xf numFmtId="164" fontId="43" fillId="0" borderId="9" xfId="3" applyNumberFormat="1" applyFont="1" applyFill="1" applyBorder="1" applyAlignment="1">
      <alignment horizontal="center"/>
    </xf>
    <xf numFmtId="164" fontId="43" fillId="0" borderId="13" xfId="3" applyNumberFormat="1" applyFont="1" applyFill="1" applyBorder="1" applyAlignment="1">
      <alignment horizontal="center"/>
    </xf>
    <xf numFmtId="164" fontId="43" fillId="0" borderId="10" xfId="3" applyNumberFormat="1" applyFont="1" applyFill="1" applyBorder="1" applyAlignment="1">
      <alignment horizontal="center"/>
    </xf>
    <xf numFmtId="164" fontId="36" fillId="0" borderId="1" xfId="3" applyNumberFormat="1" applyFont="1" applyFill="1" applyBorder="1" applyAlignment="1">
      <alignment horizontal="center"/>
    </xf>
    <xf numFmtId="164" fontId="36" fillId="0" borderId="1" xfId="3" applyNumberFormat="1" applyFont="1" applyFill="1" applyBorder="1" applyAlignment="1">
      <alignment horizontal="center" vertical="center" wrapText="1"/>
    </xf>
    <xf numFmtId="164" fontId="43" fillId="0" borderId="13" xfId="3" applyNumberFormat="1" applyFont="1" applyFill="1" applyBorder="1" applyAlignment="1">
      <alignment horizontal="center" vertical="center"/>
    </xf>
    <xf numFmtId="164" fontId="6" fillId="0" borderId="9" xfId="1" applyNumberFormat="1" applyFont="1" applyFill="1" applyBorder="1" applyAlignment="1">
      <alignment horizontal="center" vertical="center" wrapText="1"/>
    </xf>
    <xf numFmtId="164" fontId="6" fillId="0" borderId="10" xfId="1" applyNumberFormat="1"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164" fontId="4" fillId="0" borderId="8" xfId="1" applyNumberFormat="1" applyFont="1" applyFill="1" applyBorder="1" applyAlignment="1">
      <alignment horizont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164" fontId="6" fillId="0" borderId="1" xfId="1"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64" fontId="6" fillId="0" borderId="3"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165" fontId="17" fillId="0" borderId="1" xfId="1" applyNumberFormat="1" applyFont="1" applyFill="1" applyBorder="1" applyAlignment="1">
      <alignment horizontal="center" vertical="center" wrapText="1"/>
    </xf>
    <xf numFmtId="165" fontId="16" fillId="0" borderId="2" xfId="1" applyNumberFormat="1" applyFont="1" applyFill="1" applyBorder="1" applyAlignment="1">
      <alignment horizontal="center" vertical="center" wrapText="1"/>
    </xf>
    <xf numFmtId="165" fontId="16" fillId="0" borderId="7" xfId="1" applyNumberFormat="1" applyFont="1" applyFill="1" applyBorder="1" applyAlignment="1">
      <alignment horizontal="center" vertical="center" wrapText="1"/>
    </xf>
    <xf numFmtId="165" fontId="16" fillId="0" borderId="3" xfId="1" applyNumberFormat="1" applyFont="1" applyFill="1" applyBorder="1" applyAlignment="1">
      <alignment horizontal="center" vertical="center" wrapText="1"/>
    </xf>
    <xf numFmtId="165" fontId="17" fillId="0" borderId="16" xfId="1" applyNumberFormat="1" applyFont="1" applyFill="1" applyBorder="1" applyAlignment="1">
      <alignment horizontal="center" vertical="center" wrapText="1"/>
    </xf>
    <xf numFmtId="165" fontId="17" fillId="0" borderId="14" xfId="1" applyNumberFormat="1" applyFont="1" applyFill="1" applyBorder="1" applyAlignment="1">
      <alignment horizontal="center" vertical="center" wrapText="1"/>
    </xf>
    <xf numFmtId="165" fontId="17" fillId="0" borderId="17" xfId="1" applyNumberFormat="1" applyFont="1" applyFill="1" applyBorder="1" applyAlignment="1">
      <alignment horizontal="center" vertical="center" wrapText="1"/>
    </xf>
    <xf numFmtId="165" fontId="17" fillId="0" borderId="18" xfId="1" applyNumberFormat="1" applyFont="1" applyFill="1" applyBorder="1" applyAlignment="1">
      <alignment horizontal="center" vertical="center" wrapText="1"/>
    </xf>
    <xf numFmtId="165" fontId="17" fillId="0" borderId="8" xfId="1" applyNumberFormat="1" applyFont="1" applyFill="1" applyBorder="1" applyAlignment="1">
      <alignment horizontal="center" vertical="center" wrapText="1"/>
    </xf>
    <xf numFmtId="165" fontId="17" fillId="0" borderId="15" xfId="1" applyNumberFormat="1" applyFont="1" applyFill="1" applyBorder="1" applyAlignment="1">
      <alignment horizontal="center" vertical="center" wrapText="1"/>
    </xf>
    <xf numFmtId="165" fontId="16" fillId="0" borderId="16" xfId="1" applyNumberFormat="1" applyFont="1" applyFill="1" applyBorder="1" applyAlignment="1">
      <alignment horizontal="center" vertical="center" wrapText="1"/>
    </xf>
    <xf numFmtId="165" fontId="16" fillId="0" borderId="14" xfId="1" applyNumberFormat="1" applyFont="1" applyFill="1" applyBorder="1" applyAlignment="1">
      <alignment horizontal="center" vertical="center" wrapText="1"/>
    </xf>
    <xf numFmtId="165" fontId="16" fillId="0" borderId="17" xfId="1" applyNumberFormat="1" applyFont="1" applyFill="1" applyBorder="1" applyAlignment="1">
      <alignment horizontal="center" vertical="center" wrapText="1"/>
    </xf>
    <xf numFmtId="165" fontId="16" fillId="0" borderId="18" xfId="1" applyNumberFormat="1" applyFont="1" applyFill="1" applyBorder="1" applyAlignment="1">
      <alignment horizontal="center" vertical="center" wrapText="1"/>
    </xf>
    <xf numFmtId="165" fontId="16" fillId="0" borderId="8" xfId="1" applyNumberFormat="1" applyFont="1" applyFill="1" applyBorder="1" applyAlignment="1">
      <alignment horizontal="center" vertical="center" wrapText="1"/>
    </xf>
    <xf numFmtId="165" fontId="16" fillId="0" borderId="15" xfId="1" applyNumberFormat="1" applyFont="1" applyFill="1" applyBorder="1" applyAlignment="1">
      <alignment horizontal="center" vertical="center" wrapText="1"/>
    </xf>
    <xf numFmtId="164" fontId="6" fillId="0" borderId="0" xfId="1" applyNumberFormat="1" applyFont="1" applyFill="1" applyAlignment="1">
      <alignment horizontal="center"/>
    </xf>
    <xf numFmtId="165" fontId="14" fillId="0" borderId="0" xfId="1" applyNumberFormat="1" applyFont="1" applyFill="1" applyAlignment="1">
      <alignment horizontal="center"/>
    </xf>
    <xf numFmtId="165" fontId="15" fillId="0" borderId="8" xfId="1" applyNumberFormat="1" applyFont="1" applyFill="1" applyBorder="1" applyAlignment="1">
      <alignment horizontal="right" vertical="center"/>
    </xf>
    <xf numFmtId="164" fontId="6" fillId="0" borderId="0" xfId="1" applyNumberFormat="1" applyFont="1" applyFill="1" applyAlignment="1">
      <alignment horizontal="center" vertical="center"/>
    </xf>
    <xf numFmtId="164" fontId="16" fillId="0" borderId="1" xfId="1" applyNumberFormat="1" applyFont="1" applyFill="1" applyBorder="1" applyAlignment="1">
      <alignment horizontal="center" vertical="center" wrapText="1"/>
    </xf>
    <xf numFmtId="0" fontId="17" fillId="0" borderId="1" xfId="0" applyFont="1" applyBorder="1" applyAlignment="1">
      <alignment horizontal="center" vertical="center" wrapText="1"/>
    </xf>
    <xf numFmtId="165" fontId="16" fillId="0" borderId="1" xfId="1" applyNumberFormat="1" applyFont="1" applyFill="1" applyBorder="1" applyAlignment="1">
      <alignment horizontal="center" vertical="center"/>
    </xf>
    <xf numFmtId="164" fontId="17" fillId="0" borderId="1" xfId="1" applyNumberFormat="1" applyFont="1" applyFill="1" applyBorder="1" applyAlignment="1">
      <alignment horizontal="center" vertical="center" wrapText="1"/>
    </xf>
    <xf numFmtId="164" fontId="16" fillId="0" borderId="10" xfId="1" applyNumberFormat="1" applyFont="1" applyFill="1" applyBorder="1" applyAlignment="1">
      <alignment horizontal="center" vertical="center" wrapText="1"/>
    </xf>
    <xf numFmtId="164" fontId="15" fillId="0" borderId="0" xfId="1" applyNumberFormat="1" applyFont="1" applyFill="1" applyBorder="1" applyAlignment="1">
      <alignment horizontal="center" vertical="center"/>
    </xf>
    <xf numFmtId="164" fontId="15" fillId="0" borderId="0" xfId="1" applyNumberFormat="1" applyFont="1" applyFill="1" applyAlignment="1">
      <alignment horizontal="center" vertical="center"/>
    </xf>
    <xf numFmtId="164" fontId="16" fillId="0" borderId="1" xfId="1" applyNumberFormat="1" applyFont="1" applyFill="1" applyBorder="1" applyAlignment="1">
      <alignment horizontal="center" vertical="center"/>
    </xf>
    <xf numFmtId="164" fontId="16" fillId="0" borderId="9" xfId="1" applyNumberFormat="1" applyFont="1" applyFill="1" applyBorder="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horizontal="center" vertical="center" wrapText="1"/>
    </xf>
    <xf numFmtId="164" fontId="6" fillId="0" borderId="1" xfId="1" applyNumberFormat="1" applyFont="1" applyFill="1" applyBorder="1" applyAlignment="1">
      <alignment horizontal="center"/>
    </xf>
    <xf numFmtId="164" fontId="6" fillId="0" borderId="1" xfId="1" applyNumberFormat="1" applyFont="1" applyFill="1" applyBorder="1" applyAlignment="1">
      <alignment horizontal="left"/>
    </xf>
    <xf numFmtId="0" fontId="22" fillId="0" borderId="0" xfId="0" applyFont="1" applyAlignment="1">
      <alignment vertical="center" wrapText="1"/>
    </xf>
    <xf numFmtId="164" fontId="16" fillId="0" borderId="1" xfId="1" applyNumberFormat="1" applyFont="1" applyFill="1" applyBorder="1" applyAlignment="1">
      <alignment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64" fontId="6" fillId="0" borderId="4"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wrapText="1"/>
    </xf>
    <xf numFmtId="164" fontId="6" fillId="0" borderId="5" xfId="1" applyNumberFormat="1" applyFont="1" applyFill="1" applyBorder="1" applyAlignment="1">
      <alignment horizontal="center" vertical="center"/>
    </xf>
    <xf numFmtId="43" fontId="6" fillId="0" borderId="4" xfId="1" applyFont="1" applyFill="1" applyBorder="1" applyAlignment="1">
      <alignment horizontal="center" vertical="center" wrapText="1"/>
    </xf>
    <xf numFmtId="43" fontId="6" fillId="0" borderId="5" xfId="1" applyFont="1" applyFill="1" applyBorder="1" applyAlignment="1">
      <alignment horizontal="center" vertical="center"/>
    </xf>
    <xf numFmtId="43" fontId="6" fillId="0" borderId="4" xfId="1" applyFont="1" applyFill="1" applyBorder="1" applyAlignment="1">
      <alignment horizontal="center" vertical="center"/>
    </xf>
    <xf numFmtId="164" fontId="6" fillId="0" borderId="5" xfId="1" applyNumberFormat="1" applyFont="1" applyFill="1" applyBorder="1" applyAlignment="1">
      <alignment horizontal="center" vertical="center" wrapText="1"/>
    </xf>
    <xf numFmtId="43" fontId="6" fillId="0" borderId="5" xfId="1"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164" fontId="4" fillId="0" borderId="0" xfId="1" applyNumberFormat="1" applyFont="1" applyFill="1" applyBorder="1" applyAlignment="1">
      <alignment horizontal="right"/>
    </xf>
    <xf numFmtId="0" fontId="6" fillId="0" borderId="1" xfId="0" applyFont="1" applyBorder="1" applyAlignment="1">
      <alignment horizontal="center" vertical="center" wrapText="1"/>
    </xf>
    <xf numFmtId="0" fontId="51" fillId="0" borderId="0" xfId="0" applyFont="1" applyAlignment="1">
      <alignment horizontal="center"/>
    </xf>
    <xf numFmtId="0" fontId="20" fillId="4" borderId="0" xfId="0" applyFont="1" applyFill="1" applyAlignment="1">
      <alignment horizontal="center" vertical="center"/>
    </xf>
    <xf numFmtId="164" fontId="1" fillId="0" borderId="8" xfId="1" applyNumberFormat="1" applyFont="1" applyBorder="1" applyAlignment="1">
      <alignment horizontal="center"/>
    </xf>
    <xf numFmtId="164" fontId="1" fillId="0" borderId="0" xfId="1"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164" fontId="1" fillId="0" borderId="2" xfId="1" applyNumberFormat="1" applyFont="1" applyBorder="1" applyAlignment="1">
      <alignment horizontal="center" vertical="center" wrapText="1"/>
    </xf>
    <xf numFmtId="164" fontId="1" fillId="0" borderId="3" xfId="1"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64" fontId="0" fillId="0" borderId="1" xfId="1" applyNumberFormat="1" applyFont="1" applyBorder="1" applyAlignment="1">
      <alignment horizontal="center" vertical="center" wrapText="1"/>
    </xf>
    <xf numFmtId="164" fontId="0" fillId="0" borderId="1" xfId="1" applyNumberFormat="1" applyFont="1" applyBorder="1" applyAlignment="1">
      <alignment horizontal="center"/>
    </xf>
    <xf numFmtId="164" fontId="1" fillId="0" borderId="1" xfId="1" applyNumberFormat="1" applyFont="1" applyBorder="1" applyAlignment="1">
      <alignment horizontal="center"/>
    </xf>
    <xf numFmtId="164" fontId="0" fillId="0" borderId="9" xfId="1" applyNumberFormat="1" applyFont="1" applyBorder="1" applyAlignment="1">
      <alignment horizontal="center" vertical="center" wrapText="1"/>
    </xf>
    <xf numFmtId="164" fontId="0" fillId="0" borderId="13" xfId="1" applyNumberFormat="1" applyFont="1" applyBorder="1" applyAlignment="1">
      <alignment horizontal="center" vertical="center" wrapText="1"/>
    </xf>
    <xf numFmtId="164" fontId="0" fillId="0" borderId="10" xfId="1" applyNumberFormat="1" applyFont="1" applyBorder="1" applyAlignment="1">
      <alignment horizontal="center" vertical="center" wrapText="1"/>
    </xf>
  </cellXfs>
  <cellStyles count="4">
    <cellStyle name="Comma" xfId="1" builtinId="3"/>
    <cellStyle name="Comma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GOC%20MAI/Ngan%20sach/Nam%202022/Xay%20dung%20du%20toan%20huyen%202023/Hop%20TTHDND%20ngay%2010.12.2022/Bieu%20du%20thao%20NQ%20du%20toan%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i_TC\Documents\Zalo%20Received%20Files\TH%20du%20toan%20xa%203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ocuments\Zalo%20Received%20Files\D&#7920;%20THAO%20DT%20THU%20NS%20CHO%20X&#195;%20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192;%202022\D&#7920;%20TO&#193;N%20NG&#194;N%20S&#193;CH%20N&#258;M%202022%20(HUY&#7878;N)\B&#193;O%20C&#193;O%20TR&#204;NH%20H&#272;ND\BC%20tr&#236;nh%20H&#272;ND%20(s&#7917;a%20l&#7841;i%20theo%20NQ%20H&#272;ND%20m&#7899;i%20(&#273;&#7863;c%20th&#249;%20x&#227;%20100%20tr&#273;0\D&#7920;%20TO&#193;N%20THU%20CHI%20NSNN%20N&#258;M%202022%20(s&#7917;a%20&#273;&#7863;c%20th&#249;%20x&#227;%20100t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192;%202022\D&#7920;%20TO&#193;N%20NG&#194;N%20S&#193;CH%20N&#258;M%202022%20(HUY&#7878;N)\B&#193;O%20C&#193;O%20TR&#204;NH%20H&#272;ND\BC%20tr&#236;nh%20H&#272;ND%20(s&#7917;a%20l&#7841;i%20theo%20NQ%20H&#272;ND%20m&#7899;i%20(&#273;&#7863;c%20th&#249;%20x&#227;%20100%20tr&#273;0\NGH&#7882;%20QUY&#7870;T%20H&#272;ND%20HUY&#7878;N%202022\Bi&#7875;u%20Ngh&#7883;%20quy&#7871;t%20d&#7921;%20to&#225;n%20ng&#226;n%20s&#225;ch%20n&#259;m%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i_TC\Documents\Zalo%20Received%20Files\TH%20du%20toan%20xa%2005.12%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i_TC\Documents\Zalo%20Received%20Files\TH%20du%20toan%20xa%2008.12%20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GOC%20MAI/CV%20tham%20muu/Nam%202023/Nhiem%20vu%20chuyen%20mon/Bao%20cao%20thu%20chi/1.%20BC%20thu%20chi%20thang%2027.7.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H&#192;%202022\D&#7920;%20TO&#193;N%20NG&#194;N%20S&#193;CH%20N&#258;M%202022%20(HUY&#7878;N)\B&#193;O%20C&#193;O%20TR&#204;NH%20H&#272;ND\BC%20tr&#236;nh%20H&#272;ND%20(s&#7917;a%20l&#7841;i%20theo%20NQ%20H&#272;ND%20m&#7899;i%20(&#273;&#7863;c%20th&#249;%20x&#227;%20100%20tr&#273;0\D&#7920;%20TO&#193;N%20THU%20CHI%20NSNN%20N&#258;M%202022%20(s&#7917;a%20&#273;&#7863;c%20th&#249;%20x&#227;%20100t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H&#192;%202022\D&#7920;%20TO&#193;N%20NG&#194;N%20S&#193;CH%20N&#258;M%202022%20(HUY&#7878;N)\B&#193;O%20C&#193;O%20TR&#204;NH%20H&#272;ND\BC%20tr&#236;nh%20H&#272;ND%20(s&#7917;a%20l&#7841;i%20theo%20NQ%20H&#272;ND%20m&#7899;i%20(&#273;&#7863;c%20th&#249;%20x&#227;%20100%20tr&#273;0\NGH&#7882;%20QUY&#7870;T%20H&#272;ND%20HUY&#7878;N%202022\Bi&#7875;u%20Ngh&#7883;%20quy&#7871;t%20d&#7921;%20to&#225;n%20ng&#226;n%20s&#225;ch%20n&#259;m%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Đ"/>
      <sheetName val="Tổng thu (2)"/>
      <sheetName val="TH"/>
      <sheetName val="Tổng chi"/>
      <sheetName val="Thu xa"/>
      <sheetName val="Chi xa"/>
      <sheetName val="BSCĐ xa"/>
      <sheetName val="TH ĐV"/>
      <sheetName val="BSMT"/>
      <sheetName val="Sheet3"/>
      <sheetName val="Tổng thu"/>
      <sheetName val="Sheet1"/>
      <sheetName val="Du phong"/>
      <sheetName val="Chi khac"/>
      <sheetName val="NV MOI"/>
      <sheetName val="KP PC dich"/>
    </sheetNames>
    <sheetDataSet>
      <sheetData sheetId="0"/>
      <sheetData sheetId="1">
        <row r="11">
          <cell r="AH11">
            <v>1128239</v>
          </cell>
          <cell r="AI11">
            <v>159451</v>
          </cell>
        </row>
        <row r="39">
          <cell r="AH39">
            <v>26730</v>
          </cell>
          <cell r="AI39">
            <v>34485</v>
          </cell>
        </row>
        <row r="40">
          <cell r="AH40">
            <v>30813</v>
          </cell>
          <cell r="AI40">
            <v>7088</v>
          </cell>
        </row>
      </sheetData>
      <sheetData sheetId="2"/>
      <sheetData sheetId="3">
        <row r="8">
          <cell r="AB8">
            <v>1154968.8</v>
          </cell>
          <cell r="AC8">
            <v>193936.2</v>
          </cell>
        </row>
        <row r="54">
          <cell r="AB54">
            <v>30813</v>
          </cell>
          <cell r="AC54">
            <v>7088</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u"/>
      <sheetName val="Sheet4"/>
      <sheetName val="CT chi"/>
      <sheetName val="DT thu"/>
      <sheetName val="DT chi"/>
      <sheetName val="Sheet1"/>
    </sheetNames>
    <sheetDataSet>
      <sheetData sheetId="0"/>
      <sheetData sheetId="1"/>
      <sheetData sheetId="2">
        <row r="83">
          <cell r="J83">
            <v>599.06399999999996</v>
          </cell>
          <cell r="Q83">
            <v>447.92399999999998</v>
          </cell>
          <cell r="X83">
            <v>258.31200000000001</v>
          </cell>
          <cell r="AE83">
            <v>208.84800000000001</v>
          </cell>
          <cell r="AL83">
            <v>359.988</v>
          </cell>
          <cell r="AS83">
            <v>475.404</v>
          </cell>
          <cell r="AZ83">
            <v>258.31200000000001</v>
          </cell>
          <cell r="BG83">
            <v>208.84800000000001</v>
          </cell>
          <cell r="BN83">
            <v>359.988</v>
          </cell>
          <cell r="BU83">
            <v>261.06</v>
          </cell>
          <cell r="CB83">
            <v>225.33600000000001</v>
          </cell>
          <cell r="CI83">
            <v>208.84800000000001</v>
          </cell>
          <cell r="CP83">
            <v>208.84800000000001</v>
          </cell>
          <cell r="CW83">
            <v>241.82400000000001</v>
          </cell>
          <cell r="DD83">
            <v>241.82400000000001</v>
          </cell>
          <cell r="DK83">
            <v>217.09200000000001</v>
          </cell>
          <cell r="DR83">
            <v>258.31200000000001</v>
          </cell>
        </row>
        <row r="84">
          <cell r="J84">
            <v>214.03200000000001</v>
          </cell>
          <cell r="Q84">
            <v>168.16800000000001</v>
          </cell>
          <cell r="X84">
            <v>122.304</v>
          </cell>
          <cell r="AE84">
            <v>76.44</v>
          </cell>
          <cell r="AL84">
            <v>137.59200000000001</v>
          </cell>
          <cell r="AS84">
            <v>244.608</v>
          </cell>
          <cell r="AZ84">
            <v>122.304</v>
          </cell>
          <cell r="BG84">
            <v>76.44</v>
          </cell>
          <cell r="BN84">
            <v>183.45600000000002</v>
          </cell>
          <cell r="BU84">
            <v>76.44</v>
          </cell>
          <cell r="CB84">
            <v>91.728000000000009</v>
          </cell>
          <cell r="CI84">
            <v>76.44</v>
          </cell>
          <cell r="CP84">
            <v>76.44</v>
          </cell>
          <cell r="CW84">
            <v>107.01600000000001</v>
          </cell>
          <cell r="DD84">
            <v>107.01600000000001</v>
          </cell>
          <cell r="DK84">
            <v>45.864000000000004</v>
          </cell>
          <cell r="DR84">
            <v>122.304</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U 2021"/>
      <sheetName val="TỔNG HỢP DT 2023 lên BB (2)"/>
      <sheetName val="TỔNG HỢP DT- THUA THIẾU"/>
      <sheetName val="NQD"/>
      <sheetName val="TH THU NAM TRUOC 21-11"/>
      <sheetName val="TH THU NAM TRUOC"/>
      <sheetName val="TNCN"/>
      <sheetName val="Phí - Lệ phí"/>
      <sheetName val="TỔNG HỢP DT - sếp duyệt"/>
      <sheetName val="DT HKD"/>
      <sheetName val="Lệ phí Tr.Bạ"/>
      <sheetName val="Tiền SD đát, Thuê đất, PNN"/>
      <sheetName val="B.ban th.luan DT voi xã,TT"/>
      <sheetName val="BB THAO LUAN  - IN SEP"/>
      <sheetName val="DT giao 2023"/>
      <sheetName val="TH 10-2022"/>
      <sheetName val="TH 12-2021"/>
      <sheetName val="TH MB 2023"/>
      <sheetName val="TỔNG HỢP DT 2023 THONG NHAT"/>
      <sheetName val="TONG HOP 18-11"/>
    </sheetNames>
    <sheetDataSet>
      <sheetData sheetId="0"/>
      <sheetData sheetId="1"/>
      <sheetData sheetId="2"/>
      <sheetData sheetId="3"/>
      <sheetData sheetId="4"/>
      <sheetData sheetId="5"/>
      <sheetData sheetId="6"/>
      <sheetData sheetId="7"/>
      <sheetData sheetId="8">
        <row r="8">
          <cell r="A8">
            <v>1</v>
          </cell>
          <cell r="B8" t="str">
            <v>Thị trấn Bích Động</v>
          </cell>
          <cell r="C8">
            <v>412815</v>
          </cell>
          <cell r="D8">
            <v>486740.34548100003</v>
          </cell>
          <cell r="E8">
            <v>687100</v>
          </cell>
          <cell r="F8">
            <v>624011.30000000005</v>
          </cell>
          <cell r="G8">
            <v>151.16003536693194</v>
          </cell>
          <cell r="H8">
            <v>90.818119633241167</v>
          </cell>
          <cell r="I8">
            <v>32815</v>
          </cell>
          <cell r="J8">
            <v>22100</v>
          </cell>
          <cell r="K8">
            <v>24011.300000000047</v>
          </cell>
          <cell r="L8">
            <v>73.171720249885865</v>
          </cell>
          <cell r="M8">
            <v>108.64841628959296</v>
          </cell>
          <cell r="N8">
            <v>2500</v>
          </cell>
          <cell r="O8">
            <v>2001.462082</v>
          </cell>
          <cell r="P8">
            <v>2200</v>
          </cell>
          <cell r="Q8">
            <v>2427</v>
          </cell>
          <cell r="R8">
            <v>2200</v>
          </cell>
          <cell r="S8">
            <v>88</v>
          </cell>
          <cell r="T8">
            <v>100</v>
          </cell>
          <cell r="U8">
            <v>5</v>
          </cell>
          <cell r="V8">
            <v>0.39950000000000002</v>
          </cell>
          <cell r="W8">
            <v>0</v>
          </cell>
          <cell r="X8">
            <v>2</v>
          </cell>
          <cell r="Y8">
            <v>40</v>
          </cell>
          <cell r="Z8" t="e">
            <v>#DIV/0!</v>
          </cell>
          <cell r="AA8">
            <v>0</v>
          </cell>
          <cell r="AB8">
            <v>0</v>
          </cell>
          <cell r="AC8">
            <v>0</v>
          </cell>
          <cell r="AD8">
            <v>0</v>
          </cell>
          <cell r="AG8">
            <v>1300</v>
          </cell>
          <cell r="AH8">
            <v>1256.7777369999997</v>
          </cell>
          <cell r="AI8">
            <v>1300</v>
          </cell>
          <cell r="AJ8">
            <v>1400</v>
          </cell>
          <cell r="AK8">
            <v>1300</v>
          </cell>
          <cell r="AL8">
            <v>100</v>
          </cell>
          <cell r="AM8">
            <v>100</v>
          </cell>
          <cell r="AN8">
            <v>16000</v>
          </cell>
          <cell r="AO8">
            <v>6160.1624389999997</v>
          </cell>
          <cell r="AP8">
            <v>8500</v>
          </cell>
          <cell r="AQ8">
            <v>11000</v>
          </cell>
          <cell r="AR8">
            <v>10000</v>
          </cell>
          <cell r="AS8">
            <v>62.5</v>
          </cell>
          <cell r="AT8">
            <v>117.64705882352942</v>
          </cell>
          <cell r="AU8">
            <v>480</v>
          </cell>
          <cell r="AV8">
            <v>926.34999999999991</v>
          </cell>
          <cell r="AW8">
            <v>930</v>
          </cell>
          <cell r="AX8">
            <v>450.3</v>
          </cell>
          <cell r="AY8">
            <v>93.8125</v>
          </cell>
          <cell r="AZ8">
            <v>48.41935483870968</v>
          </cell>
          <cell r="BA8">
            <v>120</v>
          </cell>
          <cell r="BB8">
            <v>74.95</v>
          </cell>
          <cell r="BC8">
            <v>120</v>
          </cell>
          <cell r="BD8">
            <v>150</v>
          </cell>
          <cell r="BE8">
            <v>125</v>
          </cell>
          <cell r="BF8">
            <v>125</v>
          </cell>
          <cell r="BG8">
            <v>11000</v>
          </cell>
          <cell r="BH8">
            <v>3672.5587700000001</v>
          </cell>
          <cell r="BI8">
            <v>5000</v>
          </cell>
          <cell r="BJ8">
            <v>7000</v>
          </cell>
          <cell r="BK8">
            <v>6000</v>
          </cell>
          <cell r="BL8">
            <v>54.54545454545454</v>
          </cell>
          <cell r="BM8">
            <v>120</v>
          </cell>
          <cell r="BN8">
            <v>380000</v>
          </cell>
          <cell r="BO8">
            <v>468864.10313300003</v>
          </cell>
          <cell r="BP8">
            <v>665000</v>
          </cell>
          <cell r="BQ8">
            <v>600000</v>
          </cell>
          <cell r="BR8">
            <v>157.89473684210526</v>
          </cell>
          <cell r="BS8">
            <v>90.225563909774436</v>
          </cell>
          <cell r="BT8">
            <v>1050</v>
          </cell>
          <cell r="BU8">
            <v>867.6954199999999</v>
          </cell>
          <cell r="BV8">
            <v>1050</v>
          </cell>
          <cell r="BW8">
            <v>1082</v>
          </cell>
          <cell r="BX8">
            <v>103.04761904761905</v>
          </cell>
          <cell r="BY8">
            <v>103.04761904761905</v>
          </cell>
          <cell r="BZ8">
            <v>360</v>
          </cell>
          <cell r="CA8">
            <v>2915.8863999999999</v>
          </cell>
          <cell r="CB8">
            <v>3000</v>
          </cell>
          <cell r="CC8">
            <v>500</v>
          </cell>
        </row>
        <row r="9">
          <cell r="A9">
            <v>2</v>
          </cell>
          <cell r="B9" t="str">
            <v>Xã Nghĩa Trung</v>
          </cell>
          <cell r="C9">
            <v>1990</v>
          </cell>
          <cell r="D9">
            <v>1779.6137230000002</v>
          </cell>
          <cell r="E9">
            <v>2535.7233999999999</v>
          </cell>
          <cell r="F9">
            <v>1569</v>
          </cell>
          <cell r="G9">
            <v>78.844221105527637</v>
          </cell>
          <cell r="H9">
            <v>61.87583393362226</v>
          </cell>
          <cell r="I9">
            <v>1990</v>
          </cell>
          <cell r="J9">
            <v>2185.7233999999999</v>
          </cell>
          <cell r="K9">
            <v>1569</v>
          </cell>
          <cell r="L9">
            <v>78.844221105527637</v>
          </cell>
          <cell r="M9">
            <v>71.784014390841961</v>
          </cell>
          <cell r="N9">
            <v>200</v>
          </cell>
          <cell r="O9">
            <v>722.68990199999996</v>
          </cell>
          <cell r="P9">
            <v>750</v>
          </cell>
          <cell r="Q9">
            <v>127</v>
          </cell>
          <cell r="R9">
            <v>120</v>
          </cell>
          <cell r="S9">
            <v>60</v>
          </cell>
          <cell r="T9">
            <v>16</v>
          </cell>
          <cell r="U9">
            <v>10</v>
          </cell>
          <cell r="V9">
            <v>3</v>
          </cell>
          <cell r="W9">
            <v>3</v>
          </cell>
          <cell r="X9">
            <v>3</v>
          </cell>
          <cell r="Y9">
            <v>30</v>
          </cell>
          <cell r="Z9">
            <v>100</v>
          </cell>
          <cell r="AA9">
            <v>0</v>
          </cell>
          <cell r="AB9">
            <v>2.7234000000000003</v>
          </cell>
          <cell r="AC9">
            <v>2.7234000000000003</v>
          </cell>
          <cell r="AD9">
            <v>5</v>
          </cell>
          <cell r="AG9">
            <v>100</v>
          </cell>
          <cell r="AH9">
            <v>281.83500099999992</v>
          </cell>
          <cell r="AI9">
            <v>300</v>
          </cell>
          <cell r="AJ9">
            <v>63</v>
          </cell>
          <cell r="AK9">
            <v>60</v>
          </cell>
          <cell r="AL9">
            <v>60</v>
          </cell>
          <cell r="AM9">
            <v>20</v>
          </cell>
          <cell r="AN9">
            <v>850</v>
          </cell>
          <cell r="AO9">
            <v>445.46504300000004</v>
          </cell>
          <cell r="AP9">
            <v>700</v>
          </cell>
          <cell r="AQ9">
            <v>800</v>
          </cell>
          <cell r="AR9">
            <v>700</v>
          </cell>
          <cell r="AS9">
            <v>82.35294117647058</v>
          </cell>
          <cell r="AT9">
            <v>100</v>
          </cell>
          <cell r="AU9">
            <v>70</v>
          </cell>
          <cell r="AV9">
            <v>48.3</v>
          </cell>
          <cell r="AW9">
            <v>50</v>
          </cell>
          <cell r="AX9">
            <v>80</v>
          </cell>
          <cell r="AY9">
            <v>114.28571428571428</v>
          </cell>
          <cell r="AZ9">
            <v>160</v>
          </cell>
          <cell r="BA9">
            <v>100</v>
          </cell>
          <cell r="BB9">
            <v>35</v>
          </cell>
          <cell r="BC9">
            <v>60</v>
          </cell>
          <cell r="BD9">
            <v>80</v>
          </cell>
          <cell r="BE9">
            <v>80</v>
          </cell>
          <cell r="BF9">
            <v>133.33333333333331</v>
          </cell>
          <cell r="BG9">
            <v>300</v>
          </cell>
          <cell r="BH9">
            <v>104.97837700000001</v>
          </cell>
          <cell r="BI9">
            <v>130</v>
          </cell>
          <cell r="BJ9">
            <v>150</v>
          </cell>
          <cell r="BK9">
            <v>150</v>
          </cell>
          <cell r="BL9">
            <v>50</v>
          </cell>
          <cell r="BM9">
            <v>115.38461538461537</v>
          </cell>
          <cell r="BN9">
            <v>0</v>
          </cell>
          <cell r="BP9">
            <v>350</v>
          </cell>
          <cell r="BT9">
            <v>160</v>
          </cell>
          <cell r="BU9">
            <v>135.62200000000001</v>
          </cell>
          <cell r="BV9">
            <v>160</v>
          </cell>
          <cell r="BW9">
            <v>161</v>
          </cell>
          <cell r="BX9">
            <v>100.62500000000001</v>
          </cell>
          <cell r="BZ9">
            <v>200</v>
          </cell>
          <cell r="CA9">
            <v>0</v>
          </cell>
          <cell r="CB9">
            <v>30</v>
          </cell>
          <cell r="CC9">
            <v>100</v>
          </cell>
        </row>
        <row r="10">
          <cell r="A10">
            <v>3</v>
          </cell>
          <cell r="B10" t="str">
            <v>Xã Minh Đức</v>
          </cell>
          <cell r="C10">
            <v>11900</v>
          </cell>
          <cell r="D10">
            <v>2373.824173</v>
          </cell>
          <cell r="E10">
            <v>2717.5206000000003</v>
          </cell>
          <cell r="F10">
            <v>16838</v>
          </cell>
          <cell r="G10">
            <v>141.49579831932772</v>
          </cell>
          <cell r="H10">
            <v>619.60891851196993</v>
          </cell>
          <cell r="I10">
            <v>1900</v>
          </cell>
          <cell r="J10">
            <v>2257.5206000000003</v>
          </cell>
          <cell r="K10">
            <v>1838</v>
          </cell>
          <cell r="L10">
            <v>96.73684210526315</v>
          </cell>
          <cell r="M10">
            <v>81.416754292297483</v>
          </cell>
          <cell r="N10">
            <v>300</v>
          </cell>
          <cell r="O10">
            <v>521.54531999999995</v>
          </cell>
          <cell r="P10">
            <v>540</v>
          </cell>
          <cell r="Q10">
            <v>304</v>
          </cell>
          <cell r="R10">
            <v>300</v>
          </cell>
          <cell r="S10">
            <v>100</v>
          </cell>
          <cell r="T10">
            <v>55.555555555555557</v>
          </cell>
          <cell r="U10">
            <v>0</v>
          </cell>
          <cell r="V10">
            <v>0</v>
          </cell>
          <cell r="W10">
            <v>0</v>
          </cell>
          <cell r="X10">
            <v>0</v>
          </cell>
          <cell r="Y10" t="e">
            <v>#DIV/0!</v>
          </cell>
          <cell r="AA10">
            <v>10</v>
          </cell>
          <cell r="AB10">
            <v>7.1206000000000005</v>
          </cell>
          <cell r="AC10">
            <v>7.1206000000000005</v>
          </cell>
          <cell r="AD10">
            <v>10</v>
          </cell>
          <cell r="AG10">
            <v>150</v>
          </cell>
          <cell r="AH10">
            <v>273.64427900000004</v>
          </cell>
          <cell r="AI10">
            <v>285</v>
          </cell>
          <cell r="AJ10">
            <v>155</v>
          </cell>
          <cell r="AK10">
            <v>150</v>
          </cell>
          <cell r="AL10">
            <v>100</v>
          </cell>
          <cell r="AM10">
            <v>52.631578947368418</v>
          </cell>
          <cell r="AN10">
            <v>750</v>
          </cell>
          <cell r="AO10">
            <v>329.38590600000003</v>
          </cell>
          <cell r="AP10">
            <v>450</v>
          </cell>
          <cell r="AQ10">
            <v>600</v>
          </cell>
          <cell r="AR10">
            <v>500</v>
          </cell>
          <cell r="AS10">
            <v>66.666666666666657</v>
          </cell>
          <cell r="AT10">
            <v>111.11111111111111</v>
          </cell>
          <cell r="AU10">
            <v>60</v>
          </cell>
          <cell r="AV10">
            <v>45.4</v>
          </cell>
          <cell r="AW10">
            <v>45.4</v>
          </cell>
          <cell r="AX10">
            <v>70</v>
          </cell>
          <cell r="AY10">
            <v>116.66666666666667</v>
          </cell>
          <cell r="AZ10">
            <v>154.18502202643171</v>
          </cell>
          <cell r="BA10">
            <v>120</v>
          </cell>
          <cell r="BB10">
            <v>43.2</v>
          </cell>
          <cell r="BC10">
            <v>70</v>
          </cell>
          <cell r="BD10">
            <v>90</v>
          </cell>
          <cell r="BE10">
            <v>75</v>
          </cell>
          <cell r="BF10">
            <v>128.57142857142858</v>
          </cell>
          <cell r="BG10">
            <v>200</v>
          </cell>
          <cell r="BH10">
            <v>88.557867999999999</v>
          </cell>
          <cell r="BI10">
            <v>100</v>
          </cell>
          <cell r="BJ10">
            <v>200</v>
          </cell>
          <cell r="BK10">
            <v>150</v>
          </cell>
          <cell r="BL10">
            <v>75</v>
          </cell>
          <cell r="BM10">
            <v>150</v>
          </cell>
          <cell r="BN10">
            <v>10000</v>
          </cell>
          <cell r="BO10">
            <v>458.33519999999999</v>
          </cell>
          <cell r="BP10">
            <v>460</v>
          </cell>
          <cell r="BQ10">
            <v>15000</v>
          </cell>
          <cell r="BR10">
            <v>150</v>
          </cell>
          <cell r="BT10">
            <v>210</v>
          </cell>
          <cell r="BU10">
            <v>67.421999999999997</v>
          </cell>
          <cell r="BV10">
            <v>210</v>
          </cell>
          <cell r="BW10">
            <v>209</v>
          </cell>
          <cell r="BX10">
            <v>99.523809523809518</v>
          </cell>
          <cell r="BZ10">
            <v>100</v>
          </cell>
          <cell r="CA10">
            <v>539.21299999999997</v>
          </cell>
          <cell r="CB10">
            <v>550</v>
          </cell>
          <cell r="CC10">
            <v>200</v>
          </cell>
        </row>
        <row r="11">
          <cell r="B11" t="str">
            <v>Cộng đội 1</v>
          </cell>
          <cell r="C11">
            <v>426705</v>
          </cell>
          <cell r="D11">
            <v>490893.78337700001</v>
          </cell>
          <cell r="E11">
            <v>692353.24400000006</v>
          </cell>
          <cell r="F11">
            <v>642418.30000000005</v>
          </cell>
          <cell r="G11">
            <v>150.55326279279598</v>
          </cell>
          <cell r="H11">
            <v>92.787649305792812</v>
          </cell>
          <cell r="I11">
            <v>36705</v>
          </cell>
          <cell r="J11">
            <v>26543.243999999999</v>
          </cell>
          <cell r="K11">
            <v>27418.300000000047</v>
          </cell>
          <cell r="L11">
            <v>74.699087317804242</v>
          </cell>
          <cell r="M11">
            <v>103.29671836645153</v>
          </cell>
          <cell r="N11">
            <v>3000</v>
          </cell>
          <cell r="O11">
            <v>3245.6973040000003</v>
          </cell>
          <cell r="P11">
            <v>3490</v>
          </cell>
          <cell r="Q11">
            <v>2858</v>
          </cell>
          <cell r="R11">
            <v>2620</v>
          </cell>
          <cell r="S11">
            <v>87.333333333333329</v>
          </cell>
          <cell r="T11">
            <v>75.071633237822354</v>
          </cell>
          <cell r="U11">
            <v>15</v>
          </cell>
          <cell r="V11">
            <v>3.3995000000000002</v>
          </cell>
          <cell r="W11">
            <v>3</v>
          </cell>
          <cell r="X11">
            <v>5</v>
          </cell>
          <cell r="Y11">
            <v>100</v>
          </cell>
          <cell r="Z11">
            <v>111</v>
          </cell>
          <cell r="AA11">
            <v>10</v>
          </cell>
          <cell r="AB11">
            <v>9.8440000000000012</v>
          </cell>
          <cell r="AC11">
            <v>9.8440000000000012</v>
          </cell>
          <cell r="AD11">
            <v>15</v>
          </cell>
          <cell r="AG11">
            <v>1550</v>
          </cell>
          <cell r="AH11">
            <v>1812.2570169999997</v>
          </cell>
          <cell r="AI11">
            <v>1885</v>
          </cell>
          <cell r="AJ11">
            <v>1618</v>
          </cell>
          <cell r="AK11">
            <v>1510</v>
          </cell>
          <cell r="AL11">
            <v>97.41935483870968</v>
          </cell>
          <cell r="AM11">
            <v>80.106100795755964</v>
          </cell>
          <cell r="AN11">
            <v>17600</v>
          </cell>
          <cell r="AO11">
            <v>6935.0133880000003</v>
          </cell>
          <cell r="AP11">
            <v>9650</v>
          </cell>
          <cell r="AQ11">
            <v>12400</v>
          </cell>
          <cell r="AR11">
            <v>11200</v>
          </cell>
          <cell r="AS11">
            <v>63.636363636363633</v>
          </cell>
          <cell r="AT11">
            <v>116.06217616580309</v>
          </cell>
          <cell r="AU11">
            <v>610</v>
          </cell>
          <cell r="AV11">
            <v>1020.0499999999998</v>
          </cell>
          <cell r="AW11">
            <v>1025.4000000000001</v>
          </cell>
          <cell r="AX11">
            <v>600.29999999999995</v>
          </cell>
          <cell r="AY11">
            <v>324.76488095238096</v>
          </cell>
          <cell r="AZ11">
            <v>362.60437686514138</v>
          </cell>
          <cell r="BA11">
            <v>340</v>
          </cell>
          <cell r="BB11">
            <v>153.15</v>
          </cell>
          <cell r="BC11">
            <v>250</v>
          </cell>
          <cell r="BD11">
            <v>320</v>
          </cell>
          <cell r="BE11">
            <v>94.117647058823522</v>
          </cell>
          <cell r="BF11">
            <v>128</v>
          </cell>
          <cell r="BG11">
            <v>11500</v>
          </cell>
          <cell r="BH11">
            <v>3866.0950149999999</v>
          </cell>
          <cell r="BI11">
            <v>5230</v>
          </cell>
          <cell r="BJ11">
            <v>7350</v>
          </cell>
          <cell r="BK11">
            <v>6300</v>
          </cell>
          <cell r="BL11">
            <v>54.782608695652172</v>
          </cell>
          <cell r="BM11">
            <v>120.45889101338432</v>
          </cell>
          <cell r="BN11">
            <v>390000</v>
          </cell>
          <cell r="BO11">
            <v>469322.438333</v>
          </cell>
          <cell r="BP11">
            <v>665810</v>
          </cell>
          <cell r="BQ11">
            <v>615000</v>
          </cell>
          <cell r="BR11">
            <v>157.69230769230768</v>
          </cell>
          <cell r="BS11">
            <v>92.368693771496368</v>
          </cell>
          <cell r="BT11">
            <v>1420</v>
          </cell>
          <cell r="BU11">
            <v>1070.7394199999999</v>
          </cell>
          <cell r="BV11">
            <v>1420</v>
          </cell>
          <cell r="BW11">
            <v>1452</v>
          </cell>
          <cell r="BX11">
            <v>102.25352112676056</v>
          </cell>
          <cell r="BY11">
            <v>102.25352112676056</v>
          </cell>
          <cell r="BZ11">
            <v>660</v>
          </cell>
          <cell r="CA11">
            <v>3455.0994000000001</v>
          </cell>
          <cell r="CB11">
            <v>3580</v>
          </cell>
          <cell r="CC11">
            <v>800</v>
          </cell>
        </row>
        <row r="12">
          <cell r="A12">
            <v>4</v>
          </cell>
          <cell r="B12" t="str">
            <v>Thị trấn Nếnh</v>
          </cell>
          <cell r="C12">
            <v>188675</v>
          </cell>
          <cell r="D12">
            <v>172953.24506000002</v>
          </cell>
          <cell r="E12">
            <v>295593.24</v>
          </cell>
          <cell r="F12">
            <v>515628</v>
          </cell>
          <cell r="G12">
            <v>273.28898900225255</v>
          </cell>
          <cell r="H12">
            <v>174.43835995708156</v>
          </cell>
          <cell r="I12">
            <v>16675</v>
          </cell>
          <cell r="J12">
            <v>10593.239999999991</v>
          </cell>
          <cell r="K12">
            <v>15628</v>
          </cell>
          <cell r="L12">
            <v>93.721139430284865</v>
          </cell>
          <cell r="M12">
            <v>147.52804618794642</v>
          </cell>
          <cell r="N12">
            <v>3500</v>
          </cell>
          <cell r="O12">
            <v>1987.9874359999999</v>
          </cell>
          <cell r="P12">
            <v>2100</v>
          </cell>
          <cell r="Q12">
            <v>2913</v>
          </cell>
          <cell r="R12">
            <v>2900</v>
          </cell>
          <cell r="S12">
            <v>82.857142857142861</v>
          </cell>
          <cell r="T12">
            <v>138.0952380952381</v>
          </cell>
          <cell r="U12">
            <v>5</v>
          </cell>
          <cell r="V12">
            <v>3.24</v>
          </cell>
          <cell r="W12">
            <v>3.24</v>
          </cell>
          <cell r="X12">
            <v>3</v>
          </cell>
          <cell r="Y12">
            <v>60</v>
          </cell>
          <cell r="Z12">
            <v>92.592592592592581</v>
          </cell>
          <cell r="AA12">
            <v>0</v>
          </cell>
          <cell r="AB12">
            <v>0</v>
          </cell>
          <cell r="AC12">
            <v>0</v>
          </cell>
          <cell r="AD12">
            <v>0</v>
          </cell>
          <cell r="AG12">
            <v>1700</v>
          </cell>
          <cell r="AH12">
            <v>1114.7411159999999</v>
          </cell>
          <cell r="AI12">
            <v>1170</v>
          </cell>
          <cell r="AJ12">
            <v>1512</v>
          </cell>
          <cell r="AK12">
            <v>1500</v>
          </cell>
          <cell r="AL12">
            <v>88.235294117647058</v>
          </cell>
          <cell r="AM12">
            <v>128.2051282051282</v>
          </cell>
          <cell r="AN12">
            <v>6000</v>
          </cell>
          <cell r="AO12">
            <v>3023.2960619999999</v>
          </cell>
          <cell r="AP12">
            <v>4000</v>
          </cell>
          <cell r="AQ12">
            <v>5000</v>
          </cell>
          <cell r="AR12">
            <v>4500</v>
          </cell>
          <cell r="AS12">
            <v>75</v>
          </cell>
          <cell r="AT12">
            <v>112.5</v>
          </cell>
          <cell r="AU12">
            <v>480</v>
          </cell>
          <cell r="AV12">
            <v>406.5</v>
          </cell>
          <cell r="AW12">
            <v>410</v>
          </cell>
          <cell r="AX12">
            <v>500</v>
          </cell>
          <cell r="AY12">
            <v>104.16666666666667</v>
          </cell>
          <cell r="AZ12">
            <v>121.95121951219512</v>
          </cell>
          <cell r="BA12">
            <v>180</v>
          </cell>
          <cell r="BB12">
            <v>217.24799999999999</v>
          </cell>
          <cell r="BC12">
            <v>300</v>
          </cell>
          <cell r="BD12">
            <v>350</v>
          </cell>
          <cell r="BE12">
            <v>194.44444444444443</v>
          </cell>
          <cell r="BF12">
            <v>116.66666666666667</v>
          </cell>
          <cell r="BG12">
            <v>3500</v>
          </cell>
          <cell r="BH12">
            <v>1005.9175519999999</v>
          </cell>
          <cell r="BI12">
            <v>1700</v>
          </cell>
          <cell r="BJ12">
            <v>4000</v>
          </cell>
          <cell r="BK12">
            <v>3500</v>
          </cell>
          <cell r="BL12">
            <v>100</v>
          </cell>
          <cell r="BM12">
            <v>205.88235294117646</v>
          </cell>
          <cell r="BN12">
            <v>172000</v>
          </cell>
          <cell r="BO12">
            <v>164347.24</v>
          </cell>
          <cell r="BP12">
            <v>285000</v>
          </cell>
          <cell r="BQ12">
            <v>500000</v>
          </cell>
          <cell r="BR12">
            <v>290.69767441860461</v>
          </cell>
          <cell r="BS12">
            <v>175.43859649122805</v>
          </cell>
          <cell r="BT12">
            <v>760</v>
          </cell>
          <cell r="BU12">
            <v>700.20480800000007</v>
          </cell>
          <cell r="BV12">
            <v>760</v>
          </cell>
          <cell r="BW12">
            <v>750</v>
          </cell>
          <cell r="BX12">
            <v>98.68421052631578</v>
          </cell>
          <cell r="BY12">
            <v>98.68421052631578</v>
          </cell>
          <cell r="BZ12">
            <v>550</v>
          </cell>
          <cell r="CA12">
            <v>146.87008600000001</v>
          </cell>
          <cell r="CB12">
            <v>150</v>
          </cell>
          <cell r="CC12">
            <v>600</v>
          </cell>
        </row>
        <row r="13">
          <cell r="A13">
            <v>5</v>
          </cell>
          <cell r="B13" t="str">
            <v>Xã Quảng Minh</v>
          </cell>
          <cell r="C13">
            <v>10555</v>
          </cell>
          <cell r="D13">
            <v>1174.6854449999998</v>
          </cell>
          <cell r="E13">
            <v>1428</v>
          </cell>
          <cell r="F13">
            <v>21328</v>
          </cell>
          <cell r="G13">
            <v>202.06537186167694</v>
          </cell>
          <cell r="H13">
            <v>1493.5574229691877</v>
          </cell>
          <cell r="I13">
            <v>1555</v>
          </cell>
          <cell r="J13">
            <v>1228</v>
          </cell>
          <cell r="K13">
            <v>1328</v>
          </cell>
          <cell r="L13">
            <v>85.40192926045016</v>
          </cell>
          <cell r="M13">
            <v>108.14332247557003</v>
          </cell>
          <cell r="N13">
            <v>300</v>
          </cell>
          <cell r="O13">
            <v>221.45646199999999</v>
          </cell>
          <cell r="P13">
            <v>240</v>
          </cell>
          <cell r="Q13">
            <v>123</v>
          </cell>
          <cell r="R13">
            <v>120</v>
          </cell>
          <cell r="S13">
            <v>40</v>
          </cell>
          <cell r="T13">
            <v>50</v>
          </cell>
          <cell r="U13">
            <v>0</v>
          </cell>
          <cell r="V13">
            <v>0</v>
          </cell>
          <cell r="W13">
            <v>0</v>
          </cell>
          <cell r="X13">
            <v>0</v>
          </cell>
          <cell r="AA13">
            <v>5</v>
          </cell>
          <cell r="AB13">
            <v>0</v>
          </cell>
          <cell r="AC13">
            <v>0</v>
          </cell>
          <cell r="AD13">
            <v>0</v>
          </cell>
          <cell r="AG13">
            <v>150</v>
          </cell>
          <cell r="AH13">
            <v>108.27705299999998</v>
          </cell>
          <cell r="AI13">
            <v>120</v>
          </cell>
          <cell r="AJ13">
            <v>72</v>
          </cell>
          <cell r="AK13">
            <v>70</v>
          </cell>
          <cell r="AL13">
            <v>46.666666666666664</v>
          </cell>
          <cell r="AM13">
            <v>58.333333333333336</v>
          </cell>
          <cell r="AN13">
            <v>350</v>
          </cell>
          <cell r="AO13">
            <v>175.61891</v>
          </cell>
          <cell r="AP13">
            <v>250</v>
          </cell>
          <cell r="AQ13">
            <v>300</v>
          </cell>
          <cell r="AR13">
            <v>250</v>
          </cell>
          <cell r="AS13">
            <v>71.428571428571431</v>
          </cell>
          <cell r="AT13">
            <v>100</v>
          </cell>
          <cell r="AU13">
            <v>80</v>
          </cell>
          <cell r="AV13">
            <v>76.599999999999994</v>
          </cell>
          <cell r="AW13">
            <v>78</v>
          </cell>
          <cell r="AX13">
            <v>85</v>
          </cell>
          <cell r="AY13">
            <v>106.25</v>
          </cell>
          <cell r="AZ13">
            <v>108.97435897435896</v>
          </cell>
          <cell r="BA13">
            <v>70</v>
          </cell>
          <cell r="BB13">
            <v>38.703000000000003</v>
          </cell>
          <cell r="BC13">
            <v>50</v>
          </cell>
          <cell r="BD13">
            <v>70</v>
          </cell>
          <cell r="BE13">
            <v>100</v>
          </cell>
          <cell r="BF13">
            <v>140</v>
          </cell>
          <cell r="BG13">
            <v>150</v>
          </cell>
          <cell r="BH13">
            <v>61.647369999999995</v>
          </cell>
          <cell r="BI13">
            <v>70</v>
          </cell>
          <cell r="BJ13">
            <v>200</v>
          </cell>
          <cell r="BK13">
            <v>150</v>
          </cell>
          <cell r="BL13">
            <v>100</v>
          </cell>
          <cell r="BM13">
            <v>214.28571428571428</v>
          </cell>
          <cell r="BN13">
            <v>9000</v>
          </cell>
          <cell r="BO13">
            <v>94.847999999999999</v>
          </cell>
          <cell r="BP13">
            <v>200</v>
          </cell>
          <cell r="BQ13">
            <v>20000</v>
          </cell>
          <cell r="BR13">
            <v>222.22222222222223</v>
          </cell>
          <cell r="BS13">
            <v>10000</v>
          </cell>
          <cell r="BT13">
            <v>350</v>
          </cell>
          <cell r="BU13">
            <v>380.10965000000004</v>
          </cell>
          <cell r="BV13">
            <v>400</v>
          </cell>
          <cell r="BW13">
            <v>378</v>
          </cell>
          <cell r="BX13">
            <v>108</v>
          </cell>
          <cell r="BZ13">
            <v>100</v>
          </cell>
          <cell r="CA13">
            <v>17.425000000000001</v>
          </cell>
          <cell r="CB13">
            <v>20</v>
          </cell>
          <cell r="CC13">
            <v>100</v>
          </cell>
        </row>
        <row r="14">
          <cell r="A14">
            <v>6</v>
          </cell>
          <cell r="B14" t="str">
            <v>Xã Quang Châu</v>
          </cell>
          <cell r="C14">
            <v>174655</v>
          </cell>
          <cell r="D14">
            <v>32263.069875999998</v>
          </cell>
          <cell r="E14">
            <v>34945.760999999999</v>
          </cell>
          <cell r="F14">
            <v>196327</v>
          </cell>
          <cell r="G14">
            <v>112.40846239729754</v>
          </cell>
          <cell r="H14">
            <v>561.80490675249575</v>
          </cell>
          <cell r="I14">
            <v>14655</v>
          </cell>
          <cell r="J14">
            <v>12443.07</v>
          </cell>
          <cell r="K14">
            <v>16327</v>
          </cell>
          <cell r="L14">
            <v>111.40907540088708</v>
          </cell>
          <cell r="M14">
            <v>131.21359921627058</v>
          </cell>
          <cell r="N14">
            <v>1300</v>
          </cell>
          <cell r="O14">
            <v>404.81640299999998</v>
          </cell>
          <cell r="P14">
            <v>420</v>
          </cell>
          <cell r="Q14">
            <v>665</v>
          </cell>
          <cell r="R14">
            <v>650</v>
          </cell>
          <cell r="S14">
            <v>50</v>
          </cell>
          <cell r="T14">
            <v>154.76190476190476</v>
          </cell>
          <cell r="U14">
            <v>5</v>
          </cell>
          <cell r="V14">
            <v>2.0699999999999998</v>
          </cell>
          <cell r="W14">
            <v>2.0699999999999998</v>
          </cell>
          <cell r="X14">
            <v>2</v>
          </cell>
          <cell r="Z14">
            <v>96.618357487922708</v>
          </cell>
          <cell r="AA14">
            <v>0</v>
          </cell>
          <cell r="AB14">
            <v>0</v>
          </cell>
          <cell r="AC14">
            <v>0</v>
          </cell>
          <cell r="AD14">
            <v>0</v>
          </cell>
          <cell r="AG14">
            <v>550</v>
          </cell>
          <cell r="AH14">
            <v>257.28989900000022</v>
          </cell>
          <cell r="AI14">
            <v>265</v>
          </cell>
          <cell r="AJ14">
            <v>384</v>
          </cell>
          <cell r="AK14">
            <v>300</v>
          </cell>
          <cell r="AL14">
            <v>54.54545454545454</v>
          </cell>
          <cell r="AM14">
            <v>113.20754716981132</v>
          </cell>
          <cell r="AN14">
            <v>6000</v>
          </cell>
          <cell r="AO14">
            <v>4518.3149999999996</v>
          </cell>
          <cell r="AP14">
            <v>6500</v>
          </cell>
          <cell r="AQ14">
            <v>8000</v>
          </cell>
          <cell r="AR14">
            <v>7500</v>
          </cell>
          <cell r="AS14">
            <v>125</v>
          </cell>
          <cell r="AT14">
            <v>115.38461538461537</v>
          </cell>
          <cell r="AU14">
            <v>220</v>
          </cell>
          <cell r="AV14">
            <v>156.19999999999999</v>
          </cell>
          <cell r="AW14">
            <v>156</v>
          </cell>
          <cell r="AX14">
            <v>300</v>
          </cell>
          <cell r="AY14">
            <v>136.36363636363635</v>
          </cell>
          <cell r="AZ14">
            <v>192.30769230769232</v>
          </cell>
          <cell r="BA14">
            <v>120</v>
          </cell>
          <cell r="BB14">
            <v>168.816</v>
          </cell>
          <cell r="BC14">
            <v>180</v>
          </cell>
          <cell r="BD14">
            <v>200</v>
          </cell>
          <cell r="BE14">
            <v>166.66666666666669</v>
          </cell>
          <cell r="BF14">
            <v>111.11111111111111</v>
          </cell>
          <cell r="BG14">
            <v>6000</v>
          </cell>
          <cell r="BH14">
            <v>3845.9611339999997</v>
          </cell>
          <cell r="BI14">
            <v>4500</v>
          </cell>
          <cell r="BJ14">
            <v>6000</v>
          </cell>
          <cell r="BK14">
            <v>5500</v>
          </cell>
          <cell r="BL14">
            <v>91.666666666666657</v>
          </cell>
          <cell r="BM14">
            <v>122.22222222222223</v>
          </cell>
          <cell r="BN14">
            <v>160000</v>
          </cell>
          <cell r="BO14">
            <v>22502.690999999999</v>
          </cell>
          <cell r="BP14">
            <v>22502.690999999999</v>
          </cell>
          <cell r="BQ14">
            <v>180000</v>
          </cell>
          <cell r="BR14">
            <v>112.5</v>
          </cell>
          <cell r="BS14">
            <v>799.90433144195958</v>
          </cell>
          <cell r="BT14">
            <v>220</v>
          </cell>
          <cell r="BU14">
            <v>272.70044000000001</v>
          </cell>
          <cell r="BV14">
            <v>280</v>
          </cell>
          <cell r="BW14">
            <v>226</v>
          </cell>
          <cell r="BX14">
            <v>102.72727272727273</v>
          </cell>
          <cell r="BY14">
            <v>80.714285714285722</v>
          </cell>
          <cell r="BZ14">
            <v>240</v>
          </cell>
          <cell r="CA14">
            <v>134.21</v>
          </cell>
          <cell r="CB14">
            <v>140</v>
          </cell>
          <cell r="CC14">
            <v>550</v>
          </cell>
        </row>
        <row r="15">
          <cell r="A15">
            <v>7</v>
          </cell>
          <cell r="B15" t="str">
            <v>Xã Ninh Sơn</v>
          </cell>
          <cell r="C15">
            <v>37170</v>
          </cell>
          <cell r="D15">
            <v>109883.96621300001</v>
          </cell>
          <cell r="E15">
            <v>110284.0304</v>
          </cell>
          <cell r="F15">
            <v>1997.3</v>
          </cell>
          <cell r="G15">
            <v>5.3734194242668814</v>
          </cell>
          <cell r="H15">
            <v>1.8110509679015139</v>
          </cell>
          <cell r="I15">
            <v>2170</v>
          </cell>
          <cell r="J15">
            <v>2422.5679999999993</v>
          </cell>
          <cell r="K15">
            <v>1997.3</v>
          </cell>
          <cell r="L15">
            <v>92.041474654377879</v>
          </cell>
          <cell r="M15">
            <v>82.445570155306285</v>
          </cell>
          <cell r="N15">
            <v>150</v>
          </cell>
          <cell r="O15">
            <v>66.007813000000013</v>
          </cell>
          <cell r="P15">
            <v>70</v>
          </cell>
          <cell r="Q15">
            <v>97</v>
          </cell>
          <cell r="R15">
            <v>80</v>
          </cell>
          <cell r="S15">
            <v>53.333333333333336</v>
          </cell>
          <cell r="T15">
            <v>114.28571428571428</v>
          </cell>
          <cell r="U15">
            <v>0</v>
          </cell>
          <cell r="V15">
            <v>2.2679999999999998</v>
          </cell>
          <cell r="W15">
            <v>2.2679999999999998</v>
          </cell>
          <cell r="X15">
            <v>2</v>
          </cell>
          <cell r="AA15">
            <v>10</v>
          </cell>
          <cell r="AB15">
            <v>0</v>
          </cell>
          <cell r="AC15">
            <v>0</v>
          </cell>
          <cell r="AD15">
            <v>4</v>
          </cell>
          <cell r="AG15">
            <v>70</v>
          </cell>
          <cell r="AH15">
            <v>32.372157000000009</v>
          </cell>
          <cell r="AI15">
            <v>35</v>
          </cell>
          <cell r="AJ15">
            <v>48</v>
          </cell>
          <cell r="AK15">
            <v>40</v>
          </cell>
          <cell r="AL15">
            <v>57.142857142857139</v>
          </cell>
          <cell r="AM15">
            <v>114.28571428571428</v>
          </cell>
          <cell r="AN15">
            <v>1200</v>
          </cell>
          <cell r="AO15">
            <v>595.04786100000001</v>
          </cell>
          <cell r="AP15">
            <v>900</v>
          </cell>
          <cell r="AQ15">
            <v>1000</v>
          </cell>
          <cell r="AR15">
            <v>900</v>
          </cell>
          <cell r="AS15">
            <v>75</v>
          </cell>
          <cell r="AT15">
            <v>100</v>
          </cell>
          <cell r="AU15">
            <v>70</v>
          </cell>
          <cell r="AV15">
            <v>55.3</v>
          </cell>
          <cell r="AW15">
            <v>55.3</v>
          </cell>
          <cell r="AX15">
            <v>70.3</v>
          </cell>
          <cell r="AY15">
            <v>100.42857142857142</v>
          </cell>
          <cell r="AZ15">
            <v>127.124773960217</v>
          </cell>
          <cell r="BA15">
            <v>40</v>
          </cell>
          <cell r="BB15">
            <v>33.363501000000007</v>
          </cell>
          <cell r="BC15">
            <v>40</v>
          </cell>
          <cell r="BD15">
            <v>50</v>
          </cell>
          <cell r="BE15">
            <v>125</v>
          </cell>
          <cell r="BF15">
            <v>125</v>
          </cell>
          <cell r="BG15">
            <v>300</v>
          </cell>
          <cell r="BH15">
            <v>681.60981499999991</v>
          </cell>
          <cell r="BI15">
            <v>750</v>
          </cell>
          <cell r="BJ15">
            <v>300</v>
          </cell>
          <cell r="BK15">
            <v>200</v>
          </cell>
          <cell r="BL15">
            <v>66.666666666666657</v>
          </cell>
          <cell r="BM15">
            <v>26.666666666666668</v>
          </cell>
          <cell r="BN15">
            <v>35000</v>
          </cell>
          <cell r="BO15">
            <v>107861.4624</v>
          </cell>
          <cell r="BP15">
            <v>107861.4624</v>
          </cell>
          <cell r="BR15">
            <v>0</v>
          </cell>
          <cell r="BS15">
            <v>0</v>
          </cell>
          <cell r="BT15">
            <v>180</v>
          </cell>
          <cell r="BU15">
            <v>210.16426599999997</v>
          </cell>
          <cell r="BV15">
            <v>220</v>
          </cell>
          <cell r="BW15">
            <v>176</v>
          </cell>
          <cell r="BX15">
            <v>97.777777777777771</v>
          </cell>
          <cell r="BY15">
            <v>80</v>
          </cell>
          <cell r="BZ15">
            <v>150</v>
          </cell>
          <cell r="CA15">
            <v>346.37040000000002</v>
          </cell>
          <cell r="CB15">
            <v>350</v>
          </cell>
          <cell r="CC15">
            <v>250</v>
          </cell>
        </row>
        <row r="16">
          <cell r="A16">
            <v>8</v>
          </cell>
          <cell r="B16" t="str">
            <v>Xã Hồng Thái</v>
          </cell>
          <cell r="C16">
            <v>7060</v>
          </cell>
          <cell r="D16">
            <v>66482.601672999997</v>
          </cell>
          <cell r="E16">
            <v>77481</v>
          </cell>
          <cell r="F16">
            <v>4646</v>
          </cell>
          <cell r="G16">
            <v>65.807365439093473</v>
          </cell>
          <cell r="H16">
            <v>5.9963087724732516</v>
          </cell>
          <cell r="I16">
            <v>7060</v>
          </cell>
          <cell r="J16">
            <v>4414</v>
          </cell>
          <cell r="K16">
            <v>4646</v>
          </cell>
          <cell r="L16">
            <v>65.807365439093473</v>
          </cell>
          <cell r="M16">
            <v>105.2560036248301</v>
          </cell>
          <cell r="N16">
            <v>1200</v>
          </cell>
          <cell r="O16">
            <v>1114.956799</v>
          </cell>
          <cell r="P16">
            <v>1150</v>
          </cell>
          <cell r="Q16">
            <v>1037</v>
          </cell>
          <cell r="R16">
            <v>1000</v>
          </cell>
          <cell r="S16">
            <v>83.333333333333343</v>
          </cell>
          <cell r="T16">
            <v>86.956521739130437</v>
          </cell>
          <cell r="U16">
            <v>0</v>
          </cell>
          <cell r="V16">
            <v>0</v>
          </cell>
          <cell r="W16">
            <v>0</v>
          </cell>
          <cell r="X16">
            <v>0</v>
          </cell>
          <cell r="AA16">
            <v>0</v>
          </cell>
          <cell r="AB16">
            <v>0</v>
          </cell>
          <cell r="AC16">
            <v>0</v>
          </cell>
          <cell r="AD16">
            <v>0</v>
          </cell>
          <cell r="AG16">
            <v>600</v>
          </cell>
          <cell r="AH16">
            <v>494.78642000000013</v>
          </cell>
          <cell r="AI16">
            <v>516</v>
          </cell>
          <cell r="AJ16">
            <v>527</v>
          </cell>
          <cell r="AK16">
            <v>500</v>
          </cell>
          <cell r="AL16">
            <v>83.333333333333343</v>
          </cell>
          <cell r="AM16">
            <v>96.899224806201545</v>
          </cell>
          <cell r="AN16">
            <v>3500</v>
          </cell>
          <cell r="AO16">
            <v>1374.4700439999999</v>
          </cell>
          <cell r="AP16">
            <v>1750</v>
          </cell>
          <cell r="AQ16">
            <v>1800</v>
          </cell>
          <cell r="AR16">
            <v>1700</v>
          </cell>
          <cell r="AS16">
            <v>48.571428571428569</v>
          </cell>
          <cell r="AT16">
            <v>97.142857142857139</v>
          </cell>
          <cell r="AU16">
            <v>230</v>
          </cell>
          <cell r="AV16">
            <v>177.1</v>
          </cell>
          <cell r="AW16">
            <v>178</v>
          </cell>
          <cell r="AX16">
            <v>230</v>
          </cell>
          <cell r="AY16">
            <v>100</v>
          </cell>
          <cell r="AZ16">
            <v>129.21348314606743</v>
          </cell>
          <cell r="BA16">
            <v>50</v>
          </cell>
          <cell r="BB16">
            <v>59.29</v>
          </cell>
          <cell r="BC16">
            <v>70</v>
          </cell>
          <cell r="BD16">
            <v>80</v>
          </cell>
          <cell r="BE16">
            <v>160</v>
          </cell>
          <cell r="BF16">
            <v>114.28571428571428</v>
          </cell>
          <cell r="BG16">
            <v>1000</v>
          </cell>
          <cell r="BH16">
            <v>356.11806500000006</v>
          </cell>
          <cell r="BI16">
            <v>400</v>
          </cell>
          <cell r="BJ16">
            <v>500</v>
          </cell>
          <cell r="BK16">
            <v>400</v>
          </cell>
          <cell r="BL16">
            <v>40</v>
          </cell>
          <cell r="BM16">
            <v>100</v>
          </cell>
          <cell r="BN16">
            <v>0</v>
          </cell>
          <cell r="BO16">
            <v>62567.675000000003</v>
          </cell>
          <cell r="BP16">
            <v>73067</v>
          </cell>
          <cell r="BR16" t="e">
            <v>#DIV/0!</v>
          </cell>
          <cell r="BS16">
            <v>0</v>
          </cell>
          <cell r="BT16">
            <v>280</v>
          </cell>
          <cell r="BU16">
            <v>288.27704499999999</v>
          </cell>
          <cell r="BV16">
            <v>300</v>
          </cell>
          <cell r="BW16">
            <v>272</v>
          </cell>
          <cell r="BX16">
            <v>97.142857142857139</v>
          </cell>
          <cell r="BY16">
            <v>90.666666666666657</v>
          </cell>
          <cell r="BZ16">
            <v>200</v>
          </cell>
          <cell r="CA16">
            <v>49.9283</v>
          </cell>
          <cell r="CB16">
            <v>50</v>
          </cell>
          <cell r="CC16">
            <v>200</v>
          </cell>
        </row>
        <row r="17">
          <cell r="A17">
            <v>9</v>
          </cell>
          <cell r="B17" t="str">
            <v>Xã Tăng Tiến</v>
          </cell>
          <cell r="C17">
            <v>31042</v>
          </cell>
          <cell r="D17">
            <v>27374.319967999996</v>
          </cell>
          <cell r="E17">
            <v>51205.022499999999</v>
          </cell>
          <cell r="F17">
            <v>7465</v>
          </cell>
          <cell r="G17">
            <v>24.048063913407642</v>
          </cell>
          <cell r="H17">
            <v>14.578648022271642</v>
          </cell>
          <cell r="I17">
            <v>6042</v>
          </cell>
          <cell r="J17">
            <v>5355.0999999999985</v>
          </cell>
          <cell r="K17">
            <v>7465</v>
          </cell>
          <cell r="L17">
            <v>123.55180403839788</v>
          </cell>
          <cell r="M17">
            <v>139.39982446639655</v>
          </cell>
          <cell r="N17">
            <v>1300</v>
          </cell>
          <cell r="O17">
            <v>1000.313176</v>
          </cell>
          <cell r="P17">
            <v>1050</v>
          </cell>
          <cell r="Q17">
            <v>1847</v>
          </cell>
          <cell r="R17">
            <v>1800</v>
          </cell>
          <cell r="S17">
            <v>138.46153846153845</v>
          </cell>
          <cell r="T17">
            <v>171.42857142857142</v>
          </cell>
          <cell r="U17">
            <v>0</v>
          </cell>
          <cell r="V17">
            <v>0</v>
          </cell>
          <cell r="W17">
            <v>0</v>
          </cell>
          <cell r="X17">
            <v>0</v>
          </cell>
          <cell r="AA17">
            <v>0</v>
          </cell>
          <cell r="AB17">
            <v>0</v>
          </cell>
          <cell r="AC17">
            <v>0</v>
          </cell>
          <cell r="AD17">
            <v>0</v>
          </cell>
          <cell r="AG17">
            <v>630</v>
          </cell>
          <cell r="AH17">
            <v>571.01851899999986</v>
          </cell>
          <cell r="AI17">
            <v>600</v>
          </cell>
          <cell r="AJ17">
            <v>907</v>
          </cell>
          <cell r="AK17">
            <v>850</v>
          </cell>
          <cell r="AL17">
            <v>134.92063492063494</v>
          </cell>
          <cell r="AM17">
            <v>141.66666666666669</v>
          </cell>
          <cell r="AN17">
            <v>2500</v>
          </cell>
          <cell r="AO17">
            <v>902.99326399999995</v>
          </cell>
          <cell r="AP17">
            <v>1200</v>
          </cell>
          <cell r="AQ17">
            <v>1300</v>
          </cell>
          <cell r="AR17">
            <v>1200</v>
          </cell>
          <cell r="AS17">
            <v>48</v>
          </cell>
          <cell r="AT17">
            <v>100</v>
          </cell>
          <cell r="AU17">
            <v>162</v>
          </cell>
          <cell r="AV17">
            <v>150.1</v>
          </cell>
          <cell r="AW17">
            <v>150.1</v>
          </cell>
          <cell r="AX17">
            <v>214</v>
          </cell>
          <cell r="AY17">
            <v>132.09876543209879</v>
          </cell>
          <cell r="AZ17">
            <v>142.57161892071952</v>
          </cell>
          <cell r="BA17">
            <v>100</v>
          </cell>
          <cell r="BB17">
            <v>75.792000000000002</v>
          </cell>
          <cell r="BC17">
            <v>100</v>
          </cell>
          <cell r="BD17">
            <v>120</v>
          </cell>
          <cell r="BE17">
            <v>120</v>
          </cell>
          <cell r="BF17">
            <v>120</v>
          </cell>
          <cell r="BG17">
            <v>800</v>
          </cell>
          <cell r="BH17">
            <v>1777.0767689999998</v>
          </cell>
          <cell r="BI17">
            <v>2000</v>
          </cell>
          <cell r="BJ17">
            <v>2500</v>
          </cell>
          <cell r="BK17">
            <v>2000</v>
          </cell>
          <cell r="BL17">
            <v>250</v>
          </cell>
          <cell r="BM17">
            <v>100</v>
          </cell>
          <cell r="BN17">
            <v>25000</v>
          </cell>
          <cell r="BO17">
            <v>22649.922500000001</v>
          </cell>
          <cell r="BP17">
            <v>45849.922500000001</v>
          </cell>
          <cell r="BR17">
            <v>0</v>
          </cell>
          <cell r="BS17">
            <v>0</v>
          </cell>
          <cell r="BT17">
            <v>150</v>
          </cell>
          <cell r="BU17">
            <v>152.10374000000002</v>
          </cell>
          <cell r="BV17">
            <v>155</v>
          </cell>
          <cell r="BW17">
            <v>177</v>
          </cell>
          <cell r="BX17">
            <v>118</v>
          </cell>
          <cell r="BY17">
            <v>114.19354838709677</v>
          </cell>
          <cell r="BZ17">
            <v>400</v>
          </cell>
          <cell r="CA17">
            <v>95</v>
          </cell>
          <cell r="CB17">
            <v>100</v>
          </cell>
          <cell r="CC17">
            <v>400</v>
          </cell>
        </row>
        <row r="18">
          <cell r="A18">
            <v>10</v>
          </cell>
          <cell r="B18" t="str">
            <v>Xã Vân Trung</v>
          </cell>
          <cell r="C18">
            <v>129900</v>
          </cell>
          <cell r="D18">
            <v>2805.7415209999999</v>
          </cell>
          <cell r="E18">
            <v>5647.1487120000002</v>
          </cell>
          <cell r="F18">
            <v>89733</v>
          </cell>
          <cell r="G18">
            <v>69.078521939953802</v>
          </cell>
          <cell r="H18">
            <v>1588.9965817496607</v>
          </cell>
          <cell r="I18">
            <v>4900</v>
          </cell>
          <cell r="J18">
            <v>1483.1487120000002</v>
          </cell>
          <cell r="K18">
            <v>4733</v>
          </cell>
          <cell r="L18">
            <v>96.591836734693885</v>
          </cell>
          <cell r="M18">
            <v>319.11837037687422</v>
          </cell>
          <cell r="N18">
            <v>1000</v>
          </cell>
          <cell r="O18">
            <v>77.259046999999995</v>
          </cell>
          <cell r="P18">
            <v>100</v>
          </cell>
          <cell r="Q18">
            <v>1695</v>
          </cell>
          <cell r="R18">
            <v>1600</v>
          </cell>
          <cell r="S18">
            <v>160</v>
          </cell>
          <cell r="T18">
            <v>1600</v>
          </cell>
          <cell r="U18">
            <v>0</v>
          </cell>
          <cell r="V18">
            <v>5.85</v>
          </cell>
          <cell r="W18">
            <v>5.85</v>
          </cell>
          <cell r="X18">
            <v>10</v>
          </cell>
          <cell r="AA18">
            <v>10</v>
          </cell>
          <cell r="AB18">
            <v>7.2987120000000001</v>
          </cell>
          <cell r="AC18">
            <v>7.2987120000000001</v>
          </cell>
          <cell r="AD18">
            <v>8</v>
          </cell>
          <cell r="AG18">
            <v>400</v>
          </cell>
          <cell r="AH18">
            <v>43.618733999999982</v>
          </cell>
          <cell r="AI18">
            <v>50</v>
          </cell>
          <cell r="AJ18">
            <v>697</v>
          </cell>
          <cell r="AK18">
            <v>650</v>
          </cell>
          <cell r="AL18">
            <v>162.5</v>
          </cell>
          <cell r="AM18">
            <v>1300</v>
          </cell>
          <cell r="AN18">
            <v>2000</v>
          </cell>
          <cell r="AO18">
            <v>126.86443000000001</v>
          </cell>
          <cell r="AP18">
            <v>400</v>
          </cell>
          <cell r="AQ18">
            <v>600</v>
          </cell>
          <cell r="AR18">
            <v>500</v>
          </cell>
          <cell r="AS18">
            <v>25</v>
          </cell>
          <cell r="AT18">
            <v>125</v>
          </cell>
          <cell r="AU18">
            <v>90</v>
          </cell>
          <cell r="AV18">
            <v>102.9</v>
          </cell>
          <cell r="AW18">
            <v>105</v>
          </cell>
          <cell r="AX18">
            <v>140</v>
          </cell>
          <cell r="AY18">
            <v>155.55555555555557</v>
          </cell>
          <cell r="AZ18">
            <v>133.33333333333331</v>
          </cell>
          <cell r="BA18">
            <v>90</v>
          </cell>
          <cell r="BB18">
            <v>72.393000000000001</v>
          </cell>
          <cell r="BC18">
            <v>100</v>
          </cell>
          <cell r="BD18">
            <v>120</v>
          </cell>
          <cell r="BE18">
            <v>133.33333333333331</v>
          </cell>
          <cell r="BF18">
            <v>120</v>
          </cell>
          <cell r="BG18">
            <v>1000</v>
          </cell>
          <cell r="BH18">
            <v>318.39459799999997</v>
          </cell>
          <cell r="BI18">
            <v>550</v>
          </cell>
          <cell r="BJ18">
            <v>1200</v>
          </cell>
          <cell r="BK18">
            <v>1000</v>
          </cell>
          <cell r="BL18">
            <v>100</v>
          </cell>
          <cell r="BM18">
            <v>181.81818181818181</v>
          </cell>
          <cell r="BN18">
            <v>125000</v>
          </cell>
          <cell r="BO18">
            <v>1888.02</v>
          </cell>
          <cell r="BP18">
            <v>4164</v>
          </cell>
          <cell r="BQ18">
            <v>85000</v>
          </cell>
          <cell r="BR18">
            <v>68</v>
          </cell>
          <cell r="BS18">
            <v>2041.3064361191161</v>
          </cell>
          <cell r="BT18">
            <v>160</v>
          </cell>
          <cell r="BU18">
            <v>163.143</v>
          </cell>
          <cell r="BV18">
            <v>165</v>
          </cell>
          <cell r="BW18">
            <v>163</v>
          </cell>
          <cell r="BX18">
            <v>101.875</v>
          </cell>
          <cell r="BY18">
            <v>98.787878787878796</v>
          </cell>
          <cell r="BZ18">
            <v>150</v>
          </cell>
          <cell r="CA18">
            <v>0</v>
          </cell>
          <cell r="CC18">
            <v>100</v>
          </cell>
        </row>
        <row r="19">
          <cell r="B19" t="str">
            <v>Cộng đội 2</v>
          </cell>
          <cell r="C19">
            <v>579057</v>
          </cell>
          <cell r="D19">
            <v>412937.62975600001</v>
          </cell>
          <cell r="E19">
            <v>576584.20261199994</v>
          </cell>
          <cell r="F19">
            <v>837124.3</v>
          </cell>
          <cell r="G19">
            <v>144.56682157369656</v>
          </cell>
          <cell r="H19">
            <v>145.18682548146833</v>
          </cell>
          <cell r="I19">
            <v>53057</v>
          </cell>
          <cell r="J19">
            <v>37939.12671199999</v>
          </cell>
          <cell r="K19">
            <v>52124.3</v>
          </cell>
          <cell r="L19">
            <v>98.242079273234452</v>
          </cell>
          <cell r="M19">
            <v>137.38929837705857</v>
          </cell>
          <cell r="N19">
            <v>8750</v>
          </cell>
          <cell r="O19">
            <v>4872.7971359999992</v>
          </cell>
          <cell r="P19">
            <v>5130</v>
          </cell>
          <cell r="Q19">
            <v>8377</v>
          </cell>
          <cell r="R19">
            <v>8150</v>
          </cell>
          <cell r="S19">
            <v>93.142857142857139</v>
          </cell>
          <cell r="T19">
            <v>158.86939571150097</v>
          </cell>
          <cell r="U19">
            <v>10</v>
          </cell>
          <cell r="V19">
            <v>13.428000000000001</v>
          </cell>
          <cell r="W19">
            <v>13.428000000000001</v>
          </cell>
          <cell r="X19">
            <v>17</v>
          </cell>
          <cell r="Y19" t="str">
            <v xml:space="preserve"> -   </v>
          </cell>
          <cell r="Z19" t="str">
            <v xml:space="preserve"> -   </v>
          </cell>
          <cell r="AA19">
            <v>25</v>
          </cell>
          <cell r="AB19">
            <v>7.2987120000000001</v>
          </cell>
          <cell r="AC19">
            <v>7.2987120000000001</v>
          </cell>
          <cell r="AD19">
            <v>12</v>
          </cell>
          <cell r="AE19" t="str">
            <v xml:space="preserve"> -   </v>
          </cell>
          <cell r="AF19" t="str">
            <v xml:space="preserve"> -   </v>
          </cell>
          <cell r="AG19">
            <v>4100</v>
          </cell>
          <cell r="AH19">
            <v>2622.1038980000003</v>
          </cell>
          <cell r="AI19">
            <v>2756</v>
          </cell>
          <cell r="AJ19">
            <v>4147</v>
          </cell>
          <cell r="AK19">
            <v>3910</v>
          </cell>
          <cell r="AL19">
            <v>95.365853658536579</v>
          </cell>
          <cell r="AM19">
            <v>141.87227866473148</v>
          </cell>
          <cell r="AN19">
            <v>21550</v>
          </cell>
          <cell r="AO19">
            <v>10716.605571</v>
          </cell>
          <cell r="AP19">
            <v>15000</v>
          </cell>
          <cell r="AQ19">
            <v>18000</v>
          </cell>
          <cell r="AR19">
            <v>16550</v>
          </cell>
          <cell r="AS19">
            <v>76.798143851508115</v>
          </cell>
          <cell r="AT19">
            <v>110.33333333333333</v>
          </cell>
          <cell r="AU19">
            <v>1332</v>
          </cell>
          <cell r="AV19">
            <v>1124.7</v>
          </cell>
          <cell r="AW19">
            <v>1132.3999999999999</v>
          </cell>
          <cell r="AX19">
            <v>1539.3</v>
          </cell>
          <cell r="AY19">
            <v>115.56306306306305</v>
          </cell>
          <cell r="AZ19">
            <v>135.93253267396682</v>
          </cell>
          <cell r="BA19">
            <v>650</v>
          </cell>
          <cell r="BB19">
            <v>665.605501</v>
          </cell>
          <cell r="BC19">
            <v>840</v>
          </cell>
          <cell r="BD19">
            <v>990</v>
          </cell>
          <cell r="BE19">
            <v>152.30769230769229</v>
          </cell>
          <cell r="BF19">
            <v>117.85714285714286</v>
          </cell>
          <cell r="BG19">
            <v>12750</v>
          </cell>
          <cell r="BH19">
            <v>8046.7253029999983</v>
          </cell>
          <cell r="BI19">
            <v>9970</v>
          </cell>
          <cell r="BJ19">
            <v>14700</v>
          </cell>
          <cell r="BK19">
            <v>12750</v>
          </cell>
          <cell r="BL19">
            <v>100</v>
          </cell>
          <cell r="BM19">
            <v>127.88365095285859</v>
          </cell>
          <cell r="BN19">
            <v>526000</v>
          </cell>
          <cell r="BO19">
            <v>381911.85889999999</v>
          </cell>
          <cell r="BP19">
            <v>538645.07590000005</v>
          </cell>
          <cell r="BQ19">
            <v>785000</v>
          </cell>
          <cell r="BR19">
            <v>149.23954372623572</v>
          </cell>
          <cell r="BS19">
            <v>145.73603939261406</v>
          </cell>
          <cell r="BT19">
            <v>2100</v>
          </cell>
          <cell r="BU19">
            <v>2166.702949</v>
          </cell>
          <cell r="BV19">
            <v>2280</v>
          </cell>
          <cell r="BW19">
            <v>2142</v>
          </cell>
          <cell r="BX19">
            <v>102</v>
          </cell>
          <cell r="BY19">
            <v>93.94736842105263</v>
          </cell>
          <cell r="BZ19">
            <v>1790</v>
          </cell>
          <cell r="CA19">
            <v>789.80378600000006</v>
          </cell>
          <cell r="CB19">
            <v>810</v>
          </cell>
          <cell r="CC19">
            <v>2200</v>
          </cell>
        </row>
        <row r="20">
          <cell r="A20">
            <v>11</v>
          </cell>
          <cell r="B20" t="str">
            <v>Xã Tự Lạn</v>
          </cell>
          <cell r="C20">
            <v>2505</v>
          </cell>
          <cell r="D20">
            <v>2514.3126269999998</v>
          </cell>
          <cell r="E20">
            <v>2874.5672000000004</v>
          </cell>
          <cell r="F20">
            <v>2540.3000000000002</v>
          </cell>
          <cell r="G20">
            <v>101.40918163672656</v>
          </cell>
          <cell r="H20">
            <v>88.371564248002272</v>
          </cell>
          <cell r="I20">
            <v>2505</v>
          </cell>
          <cell r="J20">
            <v>2762</v>
          </cell>
          <cell r="K20">
            <v>2540.3000000000002</v>
          </cell>
          <cell r="L20">
            <v>101.40918163672656</v>
          </cell>
          <cell r="M20">
            <v>91.973207820419987</v>
          </cell>
          <cell r="N20">
            <v>800</v>
          </cell>
          <cell r="O20">
            <v>883.27939200000003</v>
          </cell>
          <cell r="P20">
            <v>900</v>
          </cell>
          <cell r="Q20">
            <v>852</v>
          </cell>
          <cell r="R20">
            <v>850</v>
          </cell>
          <cell r="S20">
            <v>106.25</v>
          </cell>
          <cell r="T20">
            <v>94.444444444444443</v>
          </cell>
          <cell r="U20">
            <v>0</v>
          </cell>
          <cell r="V20">
            <v>0</v>
          </cell>
          <cell r="W20">
            <v>0</v>
          </cell>
          <cell r="X20">
            <v>0</v>
          </cell>
          <cell r="AA20">
            <v>0</v>
          </cell>
          <cell r="AB20">
            <v>0</v>
          </cell>
          <cell r="AC20">
            <v>0</v>
          </cell>
          <cell r="AD20">
            <v>0</v>
          </cell>
          <cell r="AG20">
            <v>400</v>
          </cell>
          <cell r="AH20">
            <v>547.18039199999998</v>
          </cell>
          <cell r="AI20">
            <v>555</v>
          </cell>
          <cell r="AJ20">
            <v>551</v>
          </cell>
          <cell r="AK20">
            <v>500</v>
          </cell>
          <cell r="AL20">
            <v>125</v>
          </cell>
          <cell r="AM20">
            <v>90.090090090090087</v>
          </cell>
          <cell r="AN20">
            <v>600</v>
          </cell>
          <cell r="AO20">
            <v>205.09397000000001</v>
          </cell>
          <cell r="AP20">
            <v>310</v>
          </cell>
          <cell r="AQ20">
            <v>450</v>
          </cell>
          <cell r="AR20">
            <v>400</v>
          </cell>
          <cell r="AS20">
            <v>66.666666666666657</v>
          </cell>
          <cell r="AT20">
            <v>129.03225806451613</v>
          </cell>
          <cell r="AU20">
            <v>85</v>
          </cell>
          <cell r="AV20">
            <v>72.2</v>
          </cell>
          <cell r="AW20">
            <v>72</v>
          </cell>
          <cell r="AX20">
            <v>105.3</v>
          </cell>
          <cell r="AY20">
            <v>123.88235294117646</v>
          </cell>
          <cell r="AZ20">
            <v>146.25</v>
          </cell>
          <cell r="BA20">
            <v>60</v>
          </cell>
          <cell r="BB20">
            <v>29.436</v>
          </cell>
          <cell r="BC20">
            <v>40</v>
          </cell>
          <cell r="BD20">
            <v>50</v>
          </cell>
          <cell r="BE20">
            <v>83.333333333333343</v>
          </cell>
          <cell r="BF20">
            <v>125</v>
          </cell>
          <cell r="BG20">
            <v>200</v>
          </cell>
          <cell r="BH20">
            <v>57.575522999999997</v>
          </cell>
          <cell r="BI20">
            <v>70</v>
          </cell>
          <cell r="BJ20">
            <v>80</v>
          </cell>
          <cell r="BK20">
            <v>80</v>
          </cell>
          <cell r="BL20">
            <v>40</v>
          </cell>
          <cell r="BM20">
            <v>114.28571428571428</v>
          </cell>
          <cell r="BN20">
            <v>0</v>
          </cell>
          <cell r="BO20">
            <v>112.56720000000018</v>
          </cell>
          <cell r="BP20">
            <v>112.56720000000018</v>
          </cell>
          <cell r="BR20" t="e">
            <v>#DIV/0!</v>
          </cell>
          <cell r="BS20">
            <v>0</v>
          </cell>
          <cell r="BT20">
            <v>160</v>
          </cell>
          <cell r="BU20">
            <v>410.88464999999997</v>
          </cell>
          <cell r="BV20">
            <v>415</v>
          </cell>
          <cell r="BW20">
            <v>202</v>
          </cell>
          <cell r="BX20">
            <v>126.25</v>
          </cell>
          <cell r="BY20">
            <v>48.674698795180724</v>
          </cell>
          <cell r="BZ20">
            <v>200</v>
          </cell>
          <cell r="CA20">
            <v>196.09549999999999</v>
          </cell>
          <cell r="CB20">
            <v>400</v>
          </cell>
          <cell r="CC20">
            <v>250</v>
          </cell>
        </row>
        <row r="21">
          <cell r="A21">
            <v>12</v>
          </cell>
          <cell r="B21" t="str">
            <v>Xã Hương mai</v>
          </cell>
          <cell r="C21">
            <v>1650</v>
          </cell>
          <cell r="D21">
            <v>2072.4392280000002</v>
          </cell>
          <cell r="E21">
            <v>2341.0190000000002</v>
          </cell>
          <cell r="F21">
            <v>1521</v>
          </cell>
          <cell r="G21">
            <v>92.181818181818187</v>
          </cell>
          <cell r="H21">
            <v>64.971706765301775</v>
          </cell>
          <cell r="I21">
            <v>1650</v>
          </cell>
          <cell r="J21">
            <v>1605.0000000000002</v>
          </cell>
          <cell r="K21">
            <v>1521</v>
          </cell>
          <cell r="L21">
            <v>92.181818181818187</v>
          </cell>
          <cell r="M21">
            <v>94.766355140186903</v>
          </cell>
          <cell r="N21">
            <v>80</v>
          </cell>
          <cell r="O21">
            <v>368.26024699999999</v>
          </cell>
          <cell r="P21">
            <v>400</v>
          </cell>
          <cell r="Q21">
            <v>230</v>
          </cell>
          <cell r="R21">
            <v>200</v>
          </cell>
          <cell r="S21">
            <v>250</v>
          </cell>
          <cell r="T21">
            <v>50</v>
          </cell>
          <cell r="U21">
            <v>0</v>
          </cell>
          <cell r="V21">
            <v>0</v>
          </cell>
          <cell r="W21">
            <v>0</v>
          </cell>
          <cell r="X21">
            <v>0</v>
          </cell>
          <cell r="AA21">
            <v>0</v>
          </cell>
          <cell r="AB21">
            <v>0</v>
          </cell>
          <cell r="AC21">
            <v>0</v>
          </cell>
          <cell r="AD21">
            <v>0</v>
          </cell>
          <cell r="AG21">
            <v>40</v>
          </cell>
          <cell r="AH21">
            <v>190.29953700000002</v>
          </cell>
          <cell r="AI21">
            <v>205</v>
          </cell>
          <cell r="AJ21">
            <v>121</v>
          </cell>
          <cell r="AK21">
            <v>120</v>
          </cell>
          <cell r="AL21">
            <v>300</v>
          </cell>
          <cell r="AM21">
            <v>58.536585365853654</v>
          </cell>
          <cell r="AN21">
            <v>800</v>
          </cell>
          <cell r="AO21">
            <v>326.85788300000002</v>
          </cell>
          <cell r="AP21">
            <v>500</v>
          </cell>
          <cell r="AQ21">
            <v>600</v>
          </cell>
          <cell r="AR21">
            <v>500</v>
          </cell>
          <cell r="AS21">
            <v>62.5</v>
          </cell>
          <cell r="AT21">
            <v>100</v>
          </cell>
          <cell r="AU21">
            <v>50</v>
          </cell>
          <cell r="AV21">
            <v>37.799999999999997</v>
          </cell>
          <cell r="AW21">
            <v>40</v>
          </cell>
          <cell r="AX21">
            <v>50</v>
          </cell>
          <cell r="AY21">
            <v>100</v>
          </cell>
          <cell r="AZ21">
            <v>125</v>
          </cell>
          <cell r="BA21">
            <v>30</v>
          </cell>
          <cell r="BB21">
            <v>33.909999999999997</v>
          </cell>
          <cell r="BC21">
            <v>45</v>
          </cell>
          <cell r="BD21">
            <v>50</v>
          </cell>
          <cell r="BE21">
            <v>166.66666666666669</v>
          </cell>
          <cell r="BF21">
            <v>111.11111111111111</v>
          </cell>
          <cell r="BG21">
            <v>400</v>
          </cell>
          <cell r="BH21">
            <v>85.392516000000001</v>
          </cell>
          <cell r="BI21">
            <v>110</v>
          </cell>
          <cell r="BJ21">
            <v>120</v>
          </cell>
          <cell r="BK21">
            <v>120</v>
          </cell>
          <cell r="BL21">
            <v>30</v>
          </cell>
          <cell r="BM21">
            <v>109.09090909090908</v>
          </cell>
          <cell r="BN21">
            <v>0</v>
          </cell>
          <cell r="BO21">
            <v>736.01900000000001</v>
          </cell>
          <cell r="BP21">
            <v>736.01900000000001</v>
          </cell>
          <cell r="BR21" t="e">
            <v>#DIV/0!</v>
          </cell>
          <cell r="BS21">
            <v>0</v>
          </cell>
          <cell r="BT21">
            <v>200</v>
          </cell>
          <cell r="BU21">
            <v>172.81904499999999</v>
          </cell>
          <cell r="BV21">
            <v>175</v>
          </cell>
          <cell r="BW21">
            <v>200</v>
          </cell>
          <cell r="BX21">
            <v>100</v>
          </cell>
          <cell r="BY21">
            <v>114.28571428571428</v>
          </cell>
          <cell r="BZ21">
            <v>50</v>
          </cell>
          <cell r="CA21">
            <v>121.081</v>
          </cell>
          <cell r="CB21">
            <v>130</v>
          </cell>
          <cell r="CC21">
            <v>150</v>
          </cell>
        </row>
        <row r="22">
          <cell r="A22">
            <v>13</v>
          </cell>
          <cell r="B22" t="str">
            <v>Xã Việt Tiến</v>
          </cell>
          <cell r="C22">
            <v>2438</v>
          </cell>
          <cell r="D22">
            <v>5238.1945740000001</v>
          </cell>
          <cell r="E22">
            <v>5840.3220000000001</v>
          </cell>
          <cell r="F22">
            <v>3608</v>
          </cell>
          <cell r="G22">
            <v>147.99015586546349</v>
          </cell>
          <cell r="H22">
            <v>61.777415697285186</v>
          </cell>
          <cell r="I22">
            <v>2438</v>
          </cell>
          <cell r="J22">
            <v>4786</v>
          </cell>
          <cell r="K22">
            <v>3608</v>
          </cell>
          <cell r="L22">
            <v>147.99015586546349</v>
          </cell>
          <cell r="M22">
            <v>75.386544086920182</v>
          </cell>
          <cell r="N22">
            <v>400</v>
          </cell>
          <cell r="O22">
            <v>1569.6441800000002</v>
          </cell>
          <cell r="P22">
            <v>1600</v>
          </cell>
          <cell r="Q22">
            <v>669</v>
          </cell>
          <cell r="R22">
            <v>650</v>
          </cell>
          <cell r="S22">
            <v>162.5</v>
          </cell>
          <cell r="T22">
            <v>40.625</v>
          </cell>
          <cell r="U22">
            <v>0</v>
          </cell>
          <cell r="V22">
            <v>0</v>
          </cell>
          <cell r="W22">
            <v>0</v>
          </cell>
          <cell r="X22">
            <v>0</v>
          </cell>
          <cell r="Z22" t="e">
            <v>#DIV/0!</v>
          </cell>
          <cell r="AA22">
            <v>0</v>
          </cell>
          <cell r="AB22">
            <v>0</v>
          </cell>
          <cell r="AC22">
            <v>0</v>
          </cell>
          <cell r="AD22">
            <v>0</v>
          </cell>
          <cell r="AG22">
            <v>200</v>
          </cell>
          <cell r="AH22">
            <v>815.66255699999988</v>
          </cell>
          <cell r="AI22">
            <v>830</v>
          </cell>
          <cell r="AJ22">
            <v>397</v>
          </cell>
          <cell r="AK22">
            <v>350</v>
          </cell>
          <cell r="AL22">
            <v>175</v>
          </cell>
          <cell r="AM22">
            <v>42.168674698795186</v>
          </cell>
          <cell r="AN22">
            <v>800</v>
          </cell>
          <cell r="AO22">
            <v>1020.62743</v>
          </cell>
          <cell r="AP22">
            <v>1500</v>
          </cell>
          <cell r="AQ22">
            <v>1600</v>
          </cell>
          <cell r="AR22">
            <v>1500</v>
          </cell>
          <cell r="AS22">
            <v>187.5</v>
          </cell>
          <cell r="AT22">
            <v>100</v>
          </cell>
          <cell r="AU22">
            <v>148</v>
          </cell>
          <cell r="AV22">
            <v>140.30000000000001</v>
          </cell>
          <cell r="AW22">
            <v>140</v>
          </cell>
          <cell r="AX22">
            <v>140</v>
          </cell>
          <cell r="AY22">
            <v>94.594594594594597</v>
          </cell>
          <cell r="AZ22">
            <v>100</v>
          </cell>
          <cell r="BA22">
            <v>70</v>
          </cell>
          <cell r="BB22">
            <v>45.131999999999998</v>
          </cell>
          <cell r="BC22">
            <v>70</v>
          </cell>
          <cell r="BD22">
            <v>80</v>
          </cell>
          <cell r="BE22">
            <v>114.28571428571428</v>
          </cell>
          <cell r="BF22">
            <v>114.28571428571428</v>
          </cell>
          <cell r="BG22">
            <v>400</v>
          </cell>
          <cell r="BH22">
            <v>302.74556200000001</v>
          </cell>
          <cell r="BI22">
            <v>350</v>
          </cell>
          <cell r="BJ22">
            <v>400</v>
          </cell>
          <cell r="BK22">
            <v>350</v>
          </cell>
          <cell r="BL22">
            <v>87.5</v>
          </cell>
          <cell r="BM22">
            <v>100</v>
          </cell>
          <cell r="BN22">
            <v>0</v>
          </cell>
          <cell r="BO22">
            <v>1054.3219999999999</v>
          </cell>
          <cell r="BP22">
            <v>1054.3219999999999</v>
          </cell>
          <cell r="BR22" t="e">
            <v>#DIV/0!</v>
          </cell>
          <cell r="BS22">
            <v>0</v>
          </cell>
          <cell r="BT22">
            <v>220</v>
          </cell>
          <cell r="BU22">
            <v>225.67084500000001</v>
          </cell>
          <cell r="BV22">
            <v>226</v>
          </cell>
          <cell r="BW22">
            <v>222</v>
          </cell>
          <cell r="BX22">
            <v>100.90909090909091</v>
          </cell>
          <cell r="BY22">
            <v>98.230088495575217</v>
          </cell>
          <cell r="BZ22">
            <v>200</v>
          </cell>
          <cell r="CA22">
            <v>64.09</v>
          </cell>
          <cell r="CB22">
            <v>70</v>
          </cell>
          <cell r="CC22">
            <v>100</v>
          </cell>
        </row>
        <row r="23">
          <cell r="A23">
            <v>14</v>
          </cell>
          <cell r="B23" t="str">
            <v>Xã Thượng Lan</v>
          </cell>
          <cell r="C23">
            <v>5530</v>
          </cell>
          <cell r="D23">
            <v>11904.565193</v>
          </cell>
          <cell r="E23">
            <v>12019.1214</v>
          </cell>
          <cell r="F23">
            <v>1221</v>
          </cell>
          <cell r="G23">
            <v>22.079566003616634</v>
          </cell>
          <cell r="H23">
            <v>10.158812440316977</v>
          </cell>
          <cell r="I23">
            <v>1530</v>
          </cell>
          <cell r="J23">
            <v>2273</v>
          </cell>
          <cell r="K23">
            <v>1221</v>
          </cell>
          <cell r="L23">
            <v>79.803921568627459</v>
          </cell>
          <cell r="M23">
            <v>53.717553893532774</v>
          </cell>
          <cell r="N23">
            <v>500</v>
          </cell>
          <cell r="O23">
            <v>511.96631799999994</v>
          </cell>
          <cell r="P23">
            <v>530</v>
          </cell>
          <cell r="Q23">
            <v>168</v>
          </cell>
          <cell r="R23">
            <v>150</v>
          </cell>
          <cell r="S23">
            <v>30</v>
          </cell>
          <cell r="T23">
            <v>28.30188679245283</v>
          </cell>
          <cell r="U23">
            <v>0</v>
          </cell>
          <cell r="V23">
            <v>0</v>
          </cell>
          <cell r="W23">
            <v>0</v>
          </cell>
          <cell r="X23">
            <v>0</v>
          </cell>
          <cell r="AA23">
            <v>0</v>
          </cell>
          <cell r="AB23">
            <v>0</v>
          </cell>
          <cell r="AC23">
            <v>0</v>
          </cell>
          <cell r="AD23">
            <v>0</v>
          </cell>
          <cell r="AG23">
            <v>250</v>
          </cell>
          <cell r="AH23">
            <v>272.426492</v>
          </cell>
          <cell r="AI23">
            <v>280</v>
          </cell>
          <cell r="AJ23">
            <v>124</v>
          </cell>
          <cell r="AK23">
            <v>100</v>
          </cell>
          <cell r="AL23">
            <v>40</v>
          </cell>
          <cell r="AM23">
            <v>35.714285714285715</v>
          </cell>
          <cell r="AN23">
            <v>250</v>
          </cell>
          <cell r="AO23">
            <v>192.90210700000003</v>
          </cell>
          <cell r="AP23">
            <v>250</v>
          </cell>
          <cell r="AQ23">
            <v>300</v>
          </cell>
          <cell r="AR23">
            <v>250</v>
          </cell>
          <cell r="AS23">
            <v>100</v>
          </cell>
          <cell r="AT23">
            <v>100</v>
          </cell>
          <cell r="AU23">
            <v>30</v>
          </cell>
          <cell r="AV23">
            <v>17.100000000000001</v>
          </cell>
          <cell r="AW23">
            <v>18</v>
          </cell>
          <cell r="AX23">
            <v>30</v>
          </cell>
          <cell r="AY23">
            <v>100</v>
          </cell>
          <cell r="AZ23">
            <v>166.66666666666669</v>
          </cell>
          <cell r="BA23">
            <v>30</v>
          </cell>
          <cell r="BB23">
            <v>27.664999999999999</v>
          </cell>
          <cell r="BC23">
            <v>35</v>
          </cell>
          <cell r="BD23">
            <v>50</v>
          </cell>
          <cell r="BE23">
            <v>166.66666666666669</v>
          </cell>
          <cell r="BF23">
            <v>142.85714285714286</v>
          </cell>
          <cell r="BG23">
            <v>150</v>
          </cell>
          <cell r="BH23">
            <v>93.774975999999995</v>
          </cell>
          <cell r="BI23">
            <v>100</v>
          </cell>
          <cell r="BJ23">
            <v>120</v>
          </cell>
          <cell r="BK23">
            <v>100</v>
          </cell>
          <cell r="BL23">
            <v>66.666666666666657</v>
          </cell>
          <cell r="BM23">
            <v>100</v>
          </cell>
          <cell r="BN23">
            <v>4000</v>
          </cell>
          <cell r="BO23">
            <v>9746.1214</v>
          </cell>
          <cell r="BP23">
            <v>9746.1214</v>
          </cell>
          <cell r="BR23">
            <v>0</v>
          </cell>
          <cell r="BS23">
            <v>0</v>
          </cell>
          <cell r="BT23">
            <v>120</v>
          </cell>
          <cell r="BU23">
            <v>157.83199999999999</v>
          </cell>
          <cell r="BV23">
            <v>160</v>
          </cell>
          <cell r="BW23">
            <v>129</v>
          </cell>
          <cell r="BX23">
            <v>107.5</v>
          </cell>
          <cell r="BY23">
            <v>80.625</v>
          </cell>
          <cell r="BZ23">
            <v>200</v>
          </cell>
          <cell r="CA23">
            <v>884.77690000000007</v>
          </cell>
          <cell r="CB23">
            <v>900</v>
          </cell>
          <cell r="CC23">
            <v>300</v>
          </cell>
        </row>
        <row r="24">
          <cell r="A24">
            <v>15</v>
          </cell>
          <cell r="B24" t="str">
            <v>Xã Trung Sơn</v>
          </cell>
          <cell r="C24">
            <v>82005</v>
          </cell>
          <cell r="D24">
            <v>5579.7628450000011</v>
          </cell>
          <cell r="E24">
            <v>5802.9467999999997</v>
          </cell>
          <cell r="F24">
            <v>203759</v>
          </cell>
          <cell r="G24">
            <v>248.47143466861777</v>
          </cell>
          <cell r="H24">
            <v>3511.3022232083877</v>
          </cell>
          <cell r="I24">
            <v>2005</v>
          </cell>
          <cell r="J24">
            <v>3007.3032999999996</v>
          </cell>
          <cell r="K24">
            <v>3759</v>
          </cell>
          <cell r="L24">
            <v>187.48129675810475</v>
          </cell>
          <cell r="M24">
            <v>124.99570628609359</v>
          </cell>
          <cell r="N24">
            <v>30</v>
          </cell>
          <cell r="O24">
            <v>149.635572</v>
          </cell>
          <cell r="P24">
            <v>160</v>
          </cell>
          <cell r="Q24">
            <v>67</v>
          </cell>
          <cell r="R24">
            <v>50</v>
          </cell>
          <cell r="S24">
            <v>166.66666666666669</v>
          </cell>
          <cell r="T24">
            <v>31.25</v>
          </cell>
          <cell r="U24">
            <v>0</v>
          </cell>
          <cell r="V24">
            <v>0</v>
          </cell>
          <cell r="W24">
            <v>0</v>
          </cell>
          <cell r="X24">
            <v>0</v>
          </cell>
          <cell r="AA24">
            <v>10</v>
          </cell>
          <cell r="AB24">
            <v>6.3033000000000001</v>
          </cell>
          <cell r="AC24">
            <v>6.3033000000000001</v>
          </cell>
          <cell r="AD24">
            <v>8</v>
          </cell>
          <cell r="AG24">
            <v>15</v>
          </cell>
          <cell r="AH24">
            <v>71.225415000000041</v>
          </cell>
          <cell r="AI24">
            <v>75</v>
          </cell>
          <cell r="AJ24">
            <v>35</v>
          </cell>
          <cell r="AK24">
            <v>20</v>
          </cell>
          <cell r="AL24">
            <v>133.33333333333331</v>
          </cell>
          <cell r="AM24">
            <v>26.666666666666668</v>
          </cell>
          <cell r="AN24">
            <v>1000</v>
          </cell>
          <cell r="AO24">
            <v>1180.0525379999999</v>
          </cell>
          <cell r="AP24">
            <v>1300</v>
          </cell>
          <cell r="AQ24">
            <v>1400</v>
          </cell>
          <cell r="AR24">
            <v>1300</v>
          </cell>
          <cell r="AS24">
            <v>130</v>
          </cell>
          <cell r="AT24">
            <v>100</v>
          </cell>
          <cell r="AU24">
            <v>30</v>
          </cell>
          <cell r="AV24">
            <v>20.5</v>
          </cell>
          <cell r="AW24">
            <v>21</v>
          </cell>
          <cell r="AX24">
            <v>30</v>
          </cell>
          <cell r="AY24">
            <v>100</v>
          </cell>
          <cell r="AZ24">
            <v>142.85714285714286</v>
          </cell>
          <cell r="BA24">
            <v>80</v>
          </cell>
          <cell r="BB24">
            <v>40.188971000000002</v>
          </cell>
          <cell r="BC24">
            <v>50</v>
          </cell>
          <cell r="BD24">
            <v>60</v>
          </cell>
          <cell r="BE24">
            <v>75</v>
          </cell>
          <cell r="BF24">
            <v>120</v>
          </cell>
          <cell r="BG24">
            <v>480</v>
          </cell>
          <cell r="BH24">
            <v>524.96953199999996</v>
          </cell>
          <cell r="BI24">
            <v>600</v>
          </cell>
          <cell r="BJ24">
            <v>1800</v>
          </cell>
          <cell r="BK24">
            <v>1500</v>
          </cell>
          <cell r="BL24">
            <v>312.5</v>
          </cell>
          <cell r="BM24">
            <v>250</v>
          </cell>
          <cell r="BN24">
            <v>80000</v>
          </cell>
          <cell r="BO24">
            <v>2795.6435000000001</v>
          </cell>
          <cell r="BP24">
            <v>2795.6435000000001</v>
          </cell>
          <cell r="BQ24">
            <v>200000</v>
          </cell>
          <cell r="BR24">
            <v>250</v>
          </cell>
          <cell r="BS24">
            <v>7153.9879816578905</v>
          </cell>
          <cell r="BT24">
            <v>160</v>
          </cell>
          <cell r="BU24">
            <v>163.315967</v>
          </cell>
          <cell r="BV24">
            <v>165</v>
          </cell>
          <cell r="BW24">
            <v>159</v>
          </cell>
          <cell r="BX24">
            <v>99.375</v>
          </cell>
          <cell r="BY24">
            <v>96.36363636363636</v>
          </cell>
          <cell r="BZ24">
            <v>200</v>
          </cell>
          <cell r="CA24">
            <v>627.92804999999998</v>
          </cell>
          <cell r="CB24">
            <v>630</v>
          </cell>
          <cell r="CC24">
            <v>200</v>
          </cell>
        </row>
        <row r="25">
          <cell r="A25">
            <v>16</v>
          </cell>
          <cell r="B25" t="str">
            <v>Xã Tiên Sơn</v>
          </cell>
          <cell r="C25">
            <v>920</v>
          </cell>
          <cell r="D25">
            <v>1396.603042</v>
          </cell>
          <cell r="E25">
            <v>1485.66371</v>
          </cell>
          <cell r="F25">
            <v>1194</v>
          </cell>
          <cell r="G25">
            <v>129.78260869565216</v>
          </cell>
          <cell r="H25">
            <v>80.368120454392738</v>
          </cell>
          <cell r="I25">
            <v>920</v>
          </cell>
          <cell r="J25">
            <v>1334.46371</v>
          </cell>
          <cell r="K25">
            <v>1194</v>
          </cell>
          <cell r="L25">
            <v>129.78260869565216</v>
          </cell>
          <cell r="M25">
            <v>89.474145385339853</v>
          </cell>
          <cell r="N25">
            <v>30</v>
          </cell>
          <cell r="O25">
            <v>100.39051400000001</v>
          </cell>
          <cell r="P25">
            <v>110</v>
          </cell>
          <cell r="Q25">
            <v>84</v>
          </cell>
          <cell r="R25">
            <v>80</v>
          </cell>
          <cell r="S25">
            <v>266.66666666666663</v>
          </cell>
          <cell r="T25">
            <v>72.727272727272734</v>
          </cell>
          <cell r="U25">
            <v>0</v>
          </cell>
          <cell r="V25">
            <v>0</v>
          </cell>
          <cell r="W25">
            <v>0</v>
          </cell>
          <cell r="X25">
            <v>0</v>
          </cell>
          <cell r="AA25">
            <v>5</v>
          </cell>
          <cell r="AB25">
            <v>13.163710000000002</v>
          </cell>
          <cell r="AC25">
            <v>13.163710000000002</v>
          </cell>
          <cell r="AD25">
            <v>15</v>
          </cell>
          <cell r="AG25">
            <v>15</v>
          </cell>
          <cell r="AH25">
            <v>51.965698000000003</v>
          </cell>
          <cell r="AI25">
            <v>56</v>
          </cell>
          <cell r="AJ25">
            <v>38</v>
          </cell>
          <cell r="AK25">
            <v>20</v>
          </cell>
          <cell r="AL25">
            <v>133.33333333333331</v>
          </cell>
          <cell r="AM25">
            <v>35.714285714285715</v>
          </cell>
          <cell r="AN25">
            <v>350</v>
          </cell>
          <cell r="AO25">
            <v>159.45728499999998</v>
          </cell>
          <cell r="AP25">
            <v>200</v>
          </cell>
          <cell r="AQ25">
            <v>300</v>
          </cell>
          <cell r="AR25">
            <v>200</v>
          </cell>
          <cell r="AS25">
            <v>57.142857142857139</v>
          </cell>
          <cell r="AT25">
            <v>100</v>
          </cell>
          <cell r="AU25">
            <v>30</v>
          </cell>
          <cell r="AV25">
            <v>25.3</v>
          </cell>
          <cell r="AW25">
            <v>25.3</v>
          </cell>
          <cell r="AX25">
            <v>40</v>
          </cell>
          <cell r="AY25">
            <v>133.33333333333331</v>
          </cell>
          <cell r="AZ25">
            <v>158.10276679841897</v>
          </cell>
          <cell r="BA25">
            <v>50</v>
          </cell>
          <cell r="BB25">
            <v>42.003999999999998</v>
          </cell>
          <cell r="BC25">
            <v>50</v>
          </cell>
          <cell r="BD25">
            <v>60</v>
          </cell>
          <cell r="BE25">
            <v>120</v>
          </cell>
          <cell r="BF25">
            <v>120</v>
          </cell>
          <cell r="BG25">
            <v>100</v>
          </cell>
          <cell r="BH25">
            <v>39.804012999999998</v>
          </cell>
          <cell r="BI25">
            <v>60</v>
          </cell>
          <cell r="BJ25">
            <v>70</v>
          </cell>
          <cell r="BK25">
            <v>70</v>
          </cell>
          <cell r="BL25">
            <v>70</v>
          </cell>
          <cell r="BM25">
            <v>116.66666666666667</v>
          </cell>
          <cell r="BN25">
            <v>0</v>
          </cell>
          <cell r="BO25">
            <v>151.19999999999999</v>
          </cell>
          <cell r="BP25">
            <v>151.19999999999999</v>
          </cell>
          <cell r="BR25" t="e">
            <v>#DIV/0!</v>
          </cell>
          <cell r="BS25">
            <v>0</v>
          </cell>
          <cell r="BT25">
            <v>190</v>
          </cell>
          <cell r="BU25">
            <v>188.43782199999998</v>
          </cell>
          <cell r="BV25">
            <v>190</v>
          </cell>
          <cell r="BW25">
            <v>187</v>
          </cell>
          <cell r="BX25">
            <v>98.421052631578945</v>
          </cell>
          <cell r="BY25">
            <v>98.421052631578945</v>
          </cell>
          <cell r="BZ25">
            <v>150</v>
          </cell>
          <cell r="CA25">
            <v>624.88</v>
          </cell>
          <cell r="CB25">
            <v>630</v>
          </cell>
          <cell r="CC25">
            <v>400</v>
          </cell>
        </row>
        <row r="26">
          <cell r="A26">
            <v>17</v>
          </cell>
          <cell r="B26" t="str">
            <v>Xã Vân Hà</v>
          </cell>
          <cell r="C26">
            <v>400</v>
          </cell>
          <cell r="D26">
            <v>236.90490100000002</v>
          </cell>
          <cell r="E26">
            <v>254.38626600000001</v>
          </cell>
          <cell r="F26">
            <v>702</v>
          </cell>
          <cell r="G26">
            <v>175.5</v>
          </cell>
          <cell r="H26">
            <v>275.95829406922462</v>
          </cell>
          <cell r="I26">
            <v>400</v>
          </cell>
          <cell r="J26">
            <v>254.38626600000001</v>
          </cell>
          <cell r="K26">
            <v>702</v>
          </cell>
          <cell r="L26">
            <v>175.5</v>
          </cell>
          <cell r="M26">
            <v>275.95829406922462</v>
          </cell>
          <cell r="N26">
            <v>60</v>
          </cell>
          <cell r="O26">
            <v>37.650733000000002</v>
          </cell>
          <cell r="P26">
            <v>40</v>
          </cell>
          <cell r="Q26">
            <v>134</v>
          </cell>
          <cell r="R26">
            <v>60</v>
          </cell>
          <cell r="S26">
            <v>100</v>
          </cell>
          <cell r="T26">
            <v>150</v>
          </cell>
          <cell r="U26">
            <v>25</v>
          </cell>
          <cell r="V26">
            <v>45.086266000000002</v>
          </cell>
          <cell r="W26">
            <v>45.086266000000002</v>
          </cell>
          <cell r="X26">
            <v>28</v>
          </cell>
          <cell r="Y26">
            <v>112.00000000000001</v>
          </cell>
          <cell r="Z26">
            <v>62.10316906705026</v>
          </cell>
          <cell r="AA26">
            <v>0</v>
          </cell>
          <cell r="AB26">
            <v>0</v>
          </cell>
          <cell r="AC26">
            <v>0</v>
          </cell>
          <cell r="AD26">
            <v>0</v>
          </cell>
          <cell r="AG26">
            <v>30</v>
          </cell>
          <cell r="AH26">
            <v>16.305821999999999</v>
          </cell>
          <cell r="AI26">
            <v>18</v>
          </cell>
          <cell r="AJ26">
            <v>67</v>
          </cell>
          <cell r="AK26">
            <v>30</v>
          </cell>
          <cell r="AL26">
            <v>100</v>
          </cell>
          <cell r="AM26">
            <v>166.66666666666669</v>
          </cell>
          <cell r="AN26">
            <v>50</v>
          </cell>
          <cell r="AO26">
            <v>28.306870000000004</v>
          </cell>
          <cell r="AP26">
            <v>30</v>
          </cell>
          <cell r="AQ26">
            <v>50</v>
          </cell>
          <cell r="AR26">
            <v>40</v>
          </cell>
          <cell r="AS26">
            <v>80</v>
          </cell>
          <cell r="AT26">
            <v>133.33333333333331</v>
          </cell>
          <cell r="AU26">
            <v>25</v>
          </cell>
          <cell r="AV26">
            <v>26.3</v>
          </cell>
          <cell r="AW26">
            <v>26.3</v>
          </cell>
          <cell r="AX26">
            <v>25</v>
          </cell>
          <cell r="AY26">
            <v>100</v>
          </cell>
          <cell r="AZ26">
            <v>95.057034220532316</v>
          </cell>
          <cell r="BA26">
            <v>10</v>
          </cell>
          <cell r="BB26">
            <v>24.338999999999999</v>
          </cell>
          <cell r="BC26">
            <v>30</v>
          </cell>
          <cell r="BD26">
            <v>40</v>
          </cell>
          <cell r="BE26">
            <v>400</v>
          </cell>
          <cell r="BF26">
            <v>133.33333333333331</v>
          </cell>
          <cell r="BG26">
            <v>20</v>
          </cell>
          <cell r="BH26">
            <v>16.406718000000001</v>
          </cell>
          <cell r="BI26">
            <v>20</v>
          </cell>
          <cell r="BJ26">
            <v>20</v>
          </cell>
          <cell r="BK26">
            <v>20</v>
          </cell>
          <cell r="BL26">
            <v>100</v>
          </cell>
          <cell r="BM26">
            <v>100</v>
          </cell>
          <cell r="BN26">
            <v>0</v>
          </cell>
          <cell r="BO26">
            <v>0</v>
          </cell>
          <cell r="BP26">
            <v>0</v>
          </cell>
          <cell r="BR26" t="e">
            <v>#DIV/0!</v>
          </cell>
          <cell r="BS26" t="e">
            <v>#DIV/0!</v>
          </cell>
          <cell r="BT26">
            <v>30</v>
          </cell>
          <cell r="BU26">
            <v>23.009491999999998</v>
          </cell>
          <cell r="BV26">
            <v>25</v>
          </cell>
          <cell r="BW26">
            <v>38</v>
          </cell>
          <cell r="BX26">
            <v>126.66666666666666</v>
          </cell>
          <cell r="BY26">
            <v>152</v>
          </cell>
          <cell r="BZ26">
            <v>150</v>
          </cell>
          <cell r="CA26">
            <v>19.5</v>
          </cell>
          <cell r="CB26">
            <v>20</v>
          </cell>
          <cell r="CC26">
            <v>300</v>
          </cell>
        </row>
        <row r="27">
          <cell r="B27" t="str">
            <v>Cộng đội 3</v>
          </cell>
          <cell r="C27">
            <v>95448</v>
          </cell>
          <cell r="D27">
            <v>28942.78241</v>
          </cell>
          <cell r="E27">
            <v>30618.026376000002</v>
          </cell>
          <cell r="F27">
            <v>214545.3</v>
          </cell>
          <cell r="G27">
            <v>224.77715614785012</v>
          </cell>
          <cell r="H27">
            <v>700.71564171154978</v>
          </cell>
          <cell r="I27">
            <v>11448</v>
          </cell>
          <cell r="J27">
            <v>16022.153275999999</v>
          </cell>
          <cell r="K27">
            <v>14545.3</v>
          </cell>
          <cell r="L27">
            <v>127.05538085255066</v>
          </cell>
          <cell r="M27">
            <v>90.782429486477227</v>
          </cell>
          <cell r="N27">
            <v>1900</v>
          </cell>
          <cell r="O27">
            <v>3620.8269560000003</v>
          </cell>
          <cell r="P27">
            <v>3740</v>
          </cell>
          <cell r="Q27">
            <v>2204</v>
          </cell>
          <cell r="R27">
            <v>2040</v>
          </cell>
          <cell r="S27">
            <v>107.36842105263158</v>
          </cell>
          <cell r="T27">
            <v>54.54545454545454</v>
          </cell>
          <cell r="U27">
            <v>25</v>
          </cell>
          <cell r="V27">
            <v>45.086266000000002</v>
          </cell>
          <cell r="W27">
            <v>45.086266000000002</v>
          </cell>
          <cell r="X27">
            <v>28</v>
          </cell>
          <cell r="Y27">
            <v>55</v>
          </cell>
          <cell r="Z27">
            <v>36</v>
          </cell>
          <cell r="AA27">
            <v>15</v>
          </cell>
          <cell r="AB27">
            <v>19.467010000000002</v>
          </cell>
          <cell r="AC27">
            <v>19.467010000000002</v>
          </cell>
          <cell r="AD27">
            <v>23</v>
          </cell>
          <cell r="AE27">
            <v>55</v>
          </cell>
          <cell r="AF27">
            <v>36</v>
          </cell>
          <cell r="AG27">
            <v>950</v>
          </cell>
          <cell r="AH27">
            <v>1965.0659129999999</v>
          </cell>
          <cell r="AI27">
            <v>2019</v>
          </cell>
          <cell r="AJ27">
            <v>1333</v>
          </cell>
          <cell r="AK27">
            <v>1140</v>
          </cell>
          <cell r="AL27">
            <v>120</v>
          </cell>
          <cell r="AM27">
            <v>56.463595839524515</v>
          </cell>
          <cell r="AN27">
            <v>3850</v>
          </cell>
          <cell r="AO27">
            <v>3113.2980829999997</v>
          </cell>
          <cell r="AP27">
            <v>4090</v>
          </cell>
          <cell r="AQ27">
            <v>4700</v>
          </cell>
          <cell r="AR27">
            <v>4190</v>
          </cell>
          <cell r="AS27">
            <v>108.83116883116884</v>
          </cell>
          <cell r="AT27">
            <v>102.44498777506112</v>
          </cell>
          <cell r="AU27">
            <v>398</v>
          </cell>
          <cell r="AV27">
            <v>339.50000000000006</v>
          </cell>
          <cell r="AW27">
            <v>342.6</v>
          </cell>
          <cell r="AX27">
            <v>420.3</v>
          </cell>
          <cell r="AY27">
            <v>105.60301507537689</v>
          </cell>
          <cell r="AZ27">
            <v>122.67950963222415</v>
          </cell>
          <cell r="BA27">
            <v>330</v>
          </cell>
          <cell r="BB27">
            <v>242.674971</v>
          </cell>
          <cell r="BC27">
            <v>320</v>
          </cell>
          <cell r="BD27">
            <v>390</v>
          </cell>
          <cell r="BE27">
            <v>118.18181818181819</v>
          </cell>
          <cell r="BF27">
            <v>121.875</v>
          </cell>
          <cell r="BG27">
            <v>1750</v>
          </cell>
          <cell r="BH27">
            <v>1120.66884</v>
          </cell>
          <cell r="BI27">
            <v>1310</v>
          </cell>
          <cell r="BJ27">
            <v>2610</v>
          </cell>
          <cell r="BK27">
            <v>2240</v>
          </cell>
          <cell r="BL27">
            <v>128</v>
          </cell>
          <cell r="BM27">
            <v>170.99236641221373</v>
          </cell>
          <cell r="BN27">
            <v>84000</v>
          </cell>
          <cell r="BO27">
            <v>14595.873100000001</v>
          </cell>
          <cell r="BP27">
            <v>14595.873100000001</v>
          </cell>
          <cell r="BQ27">
            <v>200000</v>
          </cell>
          <cell r="BR27">
            <v>238.0952380952381</v>
          </cell>
          <cell r="BS27">
            <v>1370.2503346648034</v>
          </cell>
          <cell r="BT27">
            <v>1080</v>
          </cell>
          <cell r="BU27">
            <v>1341.9698209999999</v>
          </cell>
          <cell r="BV27">
            <v>1356</v>
          </cell>
          <cell r="BW27">
            <v>1137</v>
          </cell>
          <cell r="BX27">
            <v>105.27777777777779</v>
          </cell>
          <cell r="BY27">
            <v>83.849557522123902</v>
          </cell>
          <cell r="BZ27">
            <v>1150</v>
          </cell>
          <cell r="CA27">
            <v>2538.3514500000001</v>
          </cell>
          <cell r="CB27">
            <v>2780</v>
          </cell>
          <cell r="CC27">
            <v>1700</v>
          </cell>
        </row>
        <row r="28">
          <cell r="A28" t="str">
            <v xml:space="preserve">I </v>
          </cell>
          <cell r="B28" t="str">
            <v>Cộng Khối xã</v>
          </cell>
          <cell r="C28">
            <v>1101210</v>
          </cell>
          <cell r="D28">
            <v>932774.19554300001</v>
          </cell>
          <cell r="E28">
            <v>1299555.4729879999</v>
          </cell>
          <cell r="F28">
            <v>1694087.9000000001</v>
          </cell>
          <cell r="G28">
            <v>153.83876826400052</v>
          </cell>
          <cell r="H28">
            <v>130.35902931522213</v>
          </cell>
          <cell r="I28">
            <v>101210</v>
          </cell>
          <cell r="J28">
            <v>80504.523987999986</v>
          </cell>
          <cell r="K28">
            <v>94087.900000000052</v>
          </cell>
          <cell r="L28">
            <v>92.963047129730313</v>
          </cell>
          <cell r="M28">
            <v>116.87281079262677</v>
          </cell>
          <cell r="N28">
            <v>13650</v>
          </cell>
          <cell r="O28">
            <v>11739.321395999999</v>
          </cell>
          <cell r="P28">
            <v>12360</v>
          </cell>
          <cell r="Q28">
            <v>13439</v>
          </cell>
          <cell r="R28">
            <v>12810</v>
          </cell>
          <cell r="S28">
            <v>93.84615384615384</v>
          </cell>
          <cell r="T28">
            <v>103.64077669902913</v>
          </cell>
          <cell r="U28">
            <v>50</v>
          </cell>
          <cell r="V28">
            <v>61.913766000000003</v>
          </cell>
          <cell r="W28">
            <v>61.514266000000006</v>
          </cell>
          <cell r="X28">
            <v>50</v>
          </cell>
          <cell r="Y28">
            <v>55</v>
          </cell>
          <cell r="Z28">
            <v>36</v>
          </cell>
          <cell r="AA28">
            <v>50</v>
          </cell>
          <cell r="AB28">
            <v>36.609722000000005</v>
          </cell>
          <cell r="AC28">
            <v>36.609722000000005</v>
          </cell>
          <cell r="AD28">
            <v>50</v>
          </cell>
          <cell r="AE28">
            <v>55</v>
          </cell>
          <cell r="AF28">
            <v>36</v>
          </cell>
          <cell r="AG28">
            <v>6600</v>
          </cell>
          <cell r="AH28">
            <v>6399.4268279999997</v>
          </cell>
          <cell r="AI28">
            <v>6660</v>
          </cell>
          <cell r="AJ28">
            <v>7098</v>
          </cell>
          <cell r="AK28">
            <v>6560</v>
          </cell>
          <cell r="AL28">
            <v>99.393939393939391</v>
          </cell>
          <cell r="AM28">
            <v>98.498498498498492</v>
          </cell>
          <cell r="AN28">
            <v>43000</v>
          </cell>
          <cell r="AO28">
            <v>20764.917042000001</v>
          </cell>
          <cell r="AP28">
            <v>28740</v>
          </cell>
          <cell r="AQ28">
            <v>35100</v>
          </cell>
          <cell r="AR28">
            <v>31940</v>
          </cell>
          <cell r="AS28">
            <v>74.279069767441868</v>
          </cell>
          <cell r="AT28">
            <v>111.13430758524704</v>
          </cell>
          <cell r="AU28">
            <v>2340</v>
          </cell>
          <cell r="AV28">
            <v>2484.25</v>
          </cell>
          <cell r="AW28">
            <v>2500.4</v>
          </cell>
          <cell r="AX28">
            <v>2559.9</v>
          </cell>
          <cell r="AY28">
            <v>109.39743589743588</v>
          </cell>
          <cell r="AZ28">
            <v>102.37961926091825</v>
          </cell>
          <cell r="BA28">
            <v>1320</v>
          </cell>
          <cell r="BB28">
            <v>1061.430472</v>
          </cell>
          <cell r="BC28">
            <v>1410</v>
          </cell>
          <cell r="BD28">
            <v>1700</v>
          </cell>
          <cell r="BE28">
            <v>128.78787878787878</v>
          </cell>
          <cell r="BF28">
            <v>120.56737588652481</v>
          </cell>
          <cell r="BG28">
            <v>26000</v>
          </cell>
          <cell r="BH28">
            <v>13033.489157999998</v>
          </cell>
          <cell r="BI28">
            <v>16510</v>
          </cell>
          <cell r="BJ28">
            <v>24660</v>
          </cell>
          <cell r="BK28">
            <v>21290</v>
          </cell>
          <cell r="BL28">
            <v>81.884615384615387</v>
          </cell>
          <cell r="BM28">
            <v>128.95215021199274</v>
          </cell>
          <cell r="BN28">
            <v>1000000</v>
          </cell>
          <cell r="BO28">
            <v>865830.1703329999</v>
          </cell>
          <cell r="BP28">
            <v>1219050.949</v>
          </cell>
          <cell r="BQ28">
            <v>1600000</v>
          </cell>
          <cell r="BR28">
            <v>160</v>
          </cell>
          <cell r="BS28">
            <v>131.24964147827424</v>
          </cell>
          <cell r="BT28">
            <v>4600</v>
          </cell>
          <cell r="BU28">
            <v>4579.41219</v>
          </cell>
          <cell r="BV28">
            <v>5056</v>
          </cell>
          <cell r="BW28">
            <v>4731</v>
          </cell>
          <cell r="BX28">
            <v>102.84782608695653</v>
          </cell>
          <cell r="BY28">
            <v>93.571993670886073</v>
          </cell>
          <cell r="BZ28">
            <v>3600</v>
          </cell>
          <cell r="CA28">
            <v>6783.2546360000006</v>
          </cell>
          <cell r="CB28">
            <v>7170</v>
          </cell>
          <cell r="CC28">
            <v>4700</v>
          </cell>
        </row>
        <row r="29">
          <cell r="A29" t="str">
            <v>II</v>
          </cell>
          <cell r="B29" t="str">
            <v>Khối CQ+DN</v>
          </cell>
          <cell r="C29">
            <v>270690</v>
          </cell>
          <cell r="D29">
            <v>226060.22078900001</v>
          </cell>
          <cell r="E29">
            <v>285521.50199999998</v>
          </cell>
          <cell r="F29">
            <v>269840</v>
          </cell>
          <cell r="G29">
            <v>0</v>
          </cell>
          <cell r="H29">
            <v>0</v>
          </cell>
          <cell r="I29">
            <v>270690</v>
          </cell>
          <cell r="J29">
            <v>285521.50199999998</v>
          </cell>
          <cell r="K29">
            <v>269840</v>
          </cell>
          <cell r="L29">
            <v>0</v>
          </cell>
          <cell r="M29">
            <v>0</v>
          </cell>
          <cell r="N29">
            <v>140750</v>
          </cell>
          <cell r="O29">
            <v>99349</v>
          </cell>
          <cell r="P29">
            <v>140861</v>
          </cell>
          <cell r="Q29">
            <v>135691</v>
          </cell>
          <cell r="R29">
            <v>136320</v>
          </cell>
          <cell r="S29">
            <v>0</v>
          </cell>
          <cell r="T29">
            <v>0</v>
          </cell>
          <cell r="U29">
            <v>0</v>
          </cell>
          <cell r="V29">
            <v>28</v>
          </cell>
          <cell r="W29">
            <v>38</v>
          </cell>
          <cell r="X29">
            <v>20</v>
          </cell>
          <cell r="Y29">
            <v>0</v>
          </cell>
          <cell r="Z29">
            <v>0</v>
          </cell>
          <cell r="AA29">
            <v>500</v>
          </cell>
          <cell r="AB29">
            <v>1450</v>
          </cell>
          <cell r="AC29">
            <v>1663</v>
          </cell>
          <cell r="AD29">
            <v>750</v>
          </cell>
          <cell r="AE29">
            <v>0</v>
          </cell>
          <cell r="AF29">
            <v>0</v>
          </cell>
          <cell r="AG29">
            <v>400</v>
          </cell>
          <cell r="AH29">
            <v>538</v>
          </cell>
          <cell r="AI29">
            <v>600</v>
          </cell>
          <cell r="AJ29">
            <v>1000</v>
          </cell>
          <cell r="AK29">
            <v>1000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3840</v>
          </cell>
          <cell r="BB29">
            <v>5533.8003349999999</v>
          </cell>
          <cell r="BC29">
            <v>6589.5020000000004</v>
          </cell>
          <cell r="BD29">
            <v>4740</v>
          </cell>
          <cell r="BE29">
            <v>0</v>
          </cell>
          <cell r="BF29">
            <v>0</v>
          </cell>
          <cell r="BG29">
            <v>70000</v>
          </cell>
          <cell r="BH29">
            <v>47963.510842000003</v>
          </cell>
          <cell r="BI29">
            <v>55490</v>
          </cell>
          <cell r="BJ29">
            <v>53340</v>
          </cell>
          <cell r="BK29">
            <v>56710</v>
          </cell>
          <cell r="BL29">
            <v>0</v>
          </cell>
          <cell r="BM29">
            <v>0</v>
          </cell>
          <cell r="BN29">
            <v>0</v>
          </cell>
          <cell r="BO29">
            <v>0</v>
          </cell>
          <cell r="BP29">
            <v>0</v>
          </cell>
          <cell r="BQ29">
            <v>0</v>
          </cell>
          <cell r="BR29">
            <v>0</v>
          </cell>
          <cell r="BS29">
            <v>0</v>
          </cell>
          <cell r="BT29">
            <v>6400</v>
          </cell>
          <cell r="BU29">
            <v>7796</v>
          </cell>
          <cell r="BV29">
            <v>8560</v>
          </cell>
          <cell r="BW29">
            <v>6598</v>
          </cell>
          <cell r="BX29">
            <v>0</v>
          </cell>
          <cell r="BY29">
            <v>0</v>
          </cell>
          <cell r="BZ29">
            <v>0</v>
          </cell>
          <cell r="CA29">
            <v>0</v>
          </cell>
          <cell r="CB29">
            <v>0</v>
          </cell>
          <cell r="CC29">
            <v>0</v>
          </cell>
        </row>
        <row r="30">
          <cell r="A30">
            <v>18</v>
          </cell>
          <cell r="B30" t="str">
            <v>Công An Huyện Việt Yên</v>
          </cell>
          <cell r="C30">
            <v>800</v>
          </cell>
          <cell r="D30">
            <v>729</v>
          </cell>
          <cell r="E30">
            <v>875</v>
          </cell>
          <cell r="F30">
            <v>1000</v>
          </cell>
          <cell r="I30">
            <v>800</v>
          </cell>
          <cell r="J30">
            <v>875</v>
          </cell>
          <cell r="K30">
            <v>1000</v>
          </cell>
          <cell r="BA30">
            <v>800</v>
          </cell>
          <cell r="BB30">
            <v>729</v>
          </cell>
          <cell r="BC30">
            <v>875</v>
          </cell>
          <cell r="BD30">
            <v>1000</v>
          </cell>
        </row>
        <row r="31">
          <cell r="A31">
            <v>19</v>
          </cell>
          <cell r="B31" t="str">
            <v>Văn phòng HĐND và UBND huyện Việt Yên</v>
          </cell>
          <cell r="C31">
            <v>600</v>
          </cell>
          <cell r="D31">
            <v>387.749414</v>
          </cell>
          <cell r="E31">
            <v>460</v>
          </cell>
          <cell r="F31">
            <v>550</v>
          </cell>
          <cell r="I31">
            <v>600</v>
          </cell>
          <cell r="J31">
            <v>460</v>
          </cell>
          <cell r="K31">
            <v>550</v>
          </cell>
          <cell r="BA31">
            <v>600</v>
          </cell>
          <cell r="BB31">
            <v>387.749414</v>
          </cell>
          <cell r="BC31">
            <v>460</v>
          </cell>
          <cell r="BD31">
            <v>550</v>
          </cell>
        </row>
        <row r="32">
          <cell r="A32">
            <v>20</v>
          </cell>
          <cell r="B32" t="str">
            <v>Phòng quản lý đô thị huyện Việt Yên</v>
          </cell>
          <cell r="C32">
            <v>0</v>
          </cell>
          <cell r="D32">
            <v>435.50200000000001</v>
          </cell>
          <cell r="E32">
            <v>435.50200000000001</v>
          </cell>
          <cell r="F32">
            <v>0</v>
          </cell>
          <cell r="I32">
            <v>0</v>
          </cell>
          <cell r="J32">
            <v>435.50200000000001</v>
          </cell>
          <cell r="K32">
            <v>0</v>
          </cell>
          <cell r="BA32">
            <v>0</v>
          </cell>
          <cell r="BB32">
            <v>435.50200000000001</v>
          </cell>
          <cell r="BC32">
            <v>435.50200000000001</v>
          </cell>
        </row>
        <row r="33">
          <cell r="A33">
            <v>21</v>
          </cell>
          <cell r="B33" t="str">
            <v>Chi cục thi hành án huyện Việt Yên</v>
          </cell>
          <cell r="C33">
            <v>1000</v>
          </cell>
          <cell r="D33">
            <v>1107.5489210000001</v>
          </cell>
          <cell r="E33">
            <v>1330</v>
          </cell>
          <cell r="F33">
            <v>1450</v>
          </cell>
          <cell r="I33">
            <v>1000</v>
          </cell>
          <cell r="J33">
            <v>1330</v>
          </cell>
          <cell r="K33">
            <v>1450</v>
          </cell>
          <cell r="BA33">
            <v>1000</v>
          </cell>
          <cell r="BB33">
            <v>1107.5489210000001</v>
          </cell>
          <cell r="BC33">
            <v>1330</v>
          </cell>
          <cell r="BD33">
            <v>1450</v>
          </cell>
        </row>
        <row r="34">
          <cell r="A34">
            <v>22</v>
          </cell>
          <cell r="B34" t="str">
            <v>Các Đội Văn Phòng CCT</v>
          </cell>
          <cell r="C34">
            <v>242290</v>
          </cell>
          <cell r="D34">
            <v>189750.46564800001</v>
          </cell>
          <cell r="E34">
            <v>244421</v>
          </cell>
          <cell r="F34">
            <v>231340</v>
          </cell>
          <cell r="G34">
            <v>0</v>
          </cell>
          <cell r="H34">
            <v>0</v>
          </cell>
          <cell r="I34">
            <v>242290</v>
          </cell>
          <cell r="J34">
            <v>244421</v>
          </cell>
          <cell r="K34">
            <v>231340</v>
          </cell>
          <cell r="L34">
            <v>0</v>
          </cell>
          <cell r="M34">
            <v>0</v>
          </cell>
          <cell r="N34">
            <v>140750</v>
          </cell>
          <cell r="O34">
            <v>99349</v>
          </cell>
          <cell r="P34">
            <v>140861</v>
          </cell>
          <cell r="Q34">
            <v>135691</v>
          </cell>
          <cell r="R34">
            <v>136320</v>
          </cell>
          <cell r="S34">
            <v>0</v>
          </cell>
          <cell r="T34">
            <v>0</v>
          </cell>
          <cell r="U34">
            <v>0</v>
          </cell>
          <cell r="V34">
            <v>28</v>
          </cell>
          <cell r="W34">
            <v>38</v>
          </cell>
          <cell r="X34">
            <v>20</v>
          </cell>
          <cell r="Y34">
            <v>0</v>
          </cell>
          <cell r="Z34">
            <v>0</v>
          </cell>
          <cell r="AA34">
            <v>500</v>
          </cell>
          <cell r="AB34">
            <v>1450</v>
          </cell>
          <cell r="AC34">
            <v>1663</v>
          </cell>
          <cell r="AD34">
            <v>750</v>
          </cell>
          <cell r="AE34">
            <v>0</v>
          </cell>
          <cell r="AF34">
            <v>0</v>
          </cell>
          <cell r="AG34">
            <v>400</v>
          </cell>
          <cell r="AH34">
            <v>538</v>
          </cell>
          <cell r="AI34">
            <v>600</v>
          </cell>
          <cell r="AJ34">
            <v>1000</v>
          </cell>
          <cell r="AK34">
            <v>1000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1440</v>
          </cell>
          <cell r="BB34">
            <v>2874</v>
          </cell>
          <cell r="BC34">
            <v>3489</v>
          </cell>
          <cell r="BD34">
            <v>1740</v>
          </cell>
          <cell r="BE34">
            <v>0</v>
          </cell>
          <cell r="BF34">
            <v>0</v>
          </cell>
          <cell r="BG34">
            <v>70000</v>
          </cell>
          <cell r="BH34">
            <v>47963.510842000003</v>
          </cell>
          <cell r="BI34">
            <v>55490</v>
          </cell>
          <cell r="BJ34">
            <v>53340</v>
          </cell>
          <cell r="BK34">
            <v>56710</v>
          </cell>
          <cell r="BL34">
            <v>0</v>
          </cell>
          <cell r="BM34">
            <v>0</v>
          </cell>
          <cell r="BN34">
            <v>0</v>
          </cell>
          <cell r="BO34">
            <v>0</v>
          </cell>
          <cell r="BP34">
            <v>0</v>
          </cell>
          <cell r="BQ34">
            <v>0</v>
          </cell>
          <cell r="BR34">
            <v>0</v>
          </cell>
          <cell r="BS34">
            <v>0</v>
          </cell>
          <cell r="BT34">
            <v>6400</v>
          </cell>
          <cell r="BU34">
            <v>7796</v>
          </cell>
          <cell r="BV34">
            <v>8560</v>
          </cell>
          <cell r="BW34">
            <v>6598</v>
          </cell>
          <cell r="BX34">
            <v>0</v>
          </cell>
          <cell r="BY34">
            <v>0</v>
          </cell>
          <cell r="BZ34">
            <v>0</v>
          </cell>
          <cell r="CA34">
            <v>0</v>
          </cell>
          <cell r="CB34">
            <v>0</v>
          </cell>
          <cell r="CC34">
            <v>0</v>
          </cell>
        </row>
        <row r="35">
          <cell r="A35" t="str">
            <v>22.1</v>
          </cell>
          <cell r="B35" t="str">
            <v>Đội Ktra thuế 1</v>
          </cell>
          <cell r="C35">
            <v>143090</v>
          </cell>
          <cell r="D35">
            <v>104239</v>
          </cell>
          <cell r="E35">
            <v>146651</v>
          </cell>
          <cell r="F35">
            <v>139201</v>
          </cell>
          <cell r="I35">
            <v>143090</v>
          </cell>
          <cell r="J35">
            <v>146651</v>
          </cell>
          <cell r="K35">
            <v>139201</v>
          </cell>
          <cell r="N35">
            <v>140750</v>
          </cell>
          <cell r="O35">
            <v>99349</v>
          </cell>
          <cell r="P35">
            <v>140861</v>
          </cell>
          <cell r="Q35">
            <v>135691</v>
          </cell>
          <cell r="R35">
            <v>136320</v>
          </cell>
          <cell r="V35">
            <v>28</v>
          </cell>
          <cell r="W35">
            <v>38</v>
          </cell>
          <cell r="X35">
            <v>20</v>
          </cell>
          <cell r="AA35">
            <v>500</v>
          </cell>
          <cell r="AB35">
            <v>1450</v>
          </cell>
          <cell r="AC35">
            <v>1663</v>
          </cell>
          <cell r="AD35">
            <v>750</v>
          </cell>
          <cell r="AG35">
            <v>400</v>
          </cell>
          <cell r="AH35">
            <v>538</v>
          </cell>
          <cell r="AI35">
            <v>600</v>
          </cell>
          <cell r="AJ35">
            <v>1000</v>
          </cell>
          <cell r="AK35">
            <v>1000</v>
          </cell>
          <cell r="BA35">
            <v>1440</v>
          </cell>
          <cell r="BB35">
            <v>2874</v>
          </cell>
          <cell r="BC35">
            <v>3489</v>
          </cell>
          <cell r="BD35">
            <v>1740</v>
          </cell>
        </row>
        <row r="36">
          <cell r="A36" t="str">
            <v>22.2</v>
          </cell>
          <cell r="B36" t="str">
            <v>Đội tuyên truyền</v>
          </cell>
          <cell r="C36">
            <v>73200</v>
          </cell>
          <cell r="D36">
            <v>51861.510842000003</v>
          </cell>
          <cell r="E36">
            <v>59770</v>
          </cell>
          <cell r="F36">
            <v>56639</v>
          </cell>
          <cell r="I36">
            <v>73200</v>
          </cell>
          <cell r="J36">
            <v>59770</v>
          </cell>
          <cell r="K36">
            <v>56639</v>
          </cell>
          <cell r="BG36">
            <v>70000</v>
          </cell>
          <cell r="BH36">
            <v>47963.510842000003</v>
          </cell>
          <cell r="BI36">
            <v>55490</v>
          </cell>
          <cell r="BJ36">
            <v>53340</v>
          </cell>
          <cell r="BK36">
            <v>56710</v>
          </cell>
          <cell r="BT36">
            <v>3200</v>
          </cell>
          <cell r="BU36">
            <v>3898</v>
          </cell>
          <cell r="BV36">
            <v>4280</v>
          </cell>
          <cell r="BW36">
            <v>3299</v>
          </cell>
        </row>
        <row r="37">
          <cell r="B37" t="str">
            <v>Phi nông nghiệp</v>
          </cell>
          <cell r="BT37">
            <v>200</v>
          </cell>
          <cell r="BU37">
            <v>672</v>
          </cell>
          <cell r="BV37">
            <v>680</v>
          </cell>
          <cell r="BW37">
            <v>299</v>
          </cell>
        </row>
        <row r="38">
          <cell r="B38" t="str">
            <v>Thuê đất</v>
          </cell>
          <cell r="BT38">
            <v>3000</v>
          </cell>
          <cell r="BU38">
            <v>3226</v>
          </cell>
          <cell r="BV38">
            <v>3600</v>
          </cell>
          <cell r="BW38">
            <v>3000</v>
          </cell>
        </row>
        <row r="39">
          <cell r="A39">
            <v>23</v>
          </cell>
          <cell r="B39" t="str">
            <v>Thu khác ngân sách</v>
          </cell>
          <cell r="C39">
            <v>26000</v>
          </cell>
          <cell r="D39">
            <v>33649.954806000002</v>
          </cell>
          <cell r="E39">
            <v>38000</v>
          </cell>
          <cell r="F39">
            <v>35500</v>
          </cell>
          <cell r="I39">
            <v>26000</v>
          </cell>
          <cell r="J39">
            <v>38000</v>
          </cell>
          <cell r="K39">
            <v>35500</v>
          </cell>
        </row>
        <row r="40">
          <cell r="A40" t="str">
            <v>Tổng cộng H.giao</v>
          </cell>
          <cell r="F40">
            <v>1963927.9000000001</v>
          </cell>
          <cell r="L40" t="e">
            <v>#DIV/0!</v>
          </cell>
          <cell r="M40" t="e">
            <v>#DIV/0!</v>
          </cell>
          <cell r="N40">
            <v>154400</v>
          </cell>
          <cell r="O40">
            <v>111088.321396</v>
          </cell>
          <cell r="P40">
            <v>153221</v>
          </cell>
          <cell r="Q40">
            <v>149130</v>
          </cell>
          <cell r="R40">
            <v>149130</v>
          </cell>
          <cell r="S40">
            <v>93.84615384615384</v>
          </cell>
          <cell r="T40">
            <v>103.64077669902913</v>
          </cell>
          <cell r="U40">
            <v>50</v>
          </cell>
          <cell r="V40">
            <v>89.91376600000001</v>
          </cell>
          <cell r="W40">
            <v>99.514266000000006</v>
          </cell>
          <cell r="X40">
            <v>70</v>
          </cell>
          <cell r="Y40">
            <v>55</v>
          </cell>
          <cell r="Z40">
            <v>36</v>
          </cell>
          <cell r="AA40">
            <v>550</v>
          </cell>
          <cell r="AB40">
            <v>1486.6097219999999</v>
          </cell>
          <cell r="AC40">
            <v>1699.6097219999999</v>
          </cell>
          <cell r="AD40">
            <v>800</v>
          </cell>
          <cell r="AE40">
            <v>55</v>
          </cell>
          <cell r="AF40">
            <v>36</v>
          </cell>
          <cell r="AG40">
            <v>7000</v>
          </cell>
          <cell r="AH40">
            <v>6937.4268279999997</v>
          </cell>
          <cell r="AI40">
            <v>7260</v>
          </cell>
          <cell r="AJ40">
            <v>8098</v>
          </cell>
          <cell r="AK40">
            <v>7560</v>
          </cell>
          <cell r="AL40">
            <v>99.393939393939391</v>
          </cell>
          <cell r="AM40">
            <v>98.498498498498492</v>
          </cell>
          <cell r="AN40">
            <v>43000</v>
          </cell>
          <cell r="AO40">
            <v>20764.917042000001</v>
          </cell>
          <cell r="AP40">
            <v>28740</v>
          </cell>
          <cell r="AQ40">
            <v>35100</v>
          </cell>
          <cell r="AR40">
            <v>31940</v>
          </cell>
          <cell r="AS40">
            <v>74.279069767441868</v>
          </cell>
          <cell r="AT40">
            <v>111.13430758524704</v>
          </cell>
          <cell r="AU40">
            <v>2340</v>
          </cell>
          <cell r="AV40">
            <v>2484.25</v>
          </cell>
          <cell r="AW40">
            <v>2500.4</v>
          </cell>
          <cell r="AX40">
            <v>2559.9</v>
          </cell>
          <cell r="AY40">
            <v>109.39743589743588</v>
          </cell>
          <cell r="AZ40">
            <v>102.37961926091825</v>
          </cell>
          <cell r="BA40">
            <v>5160</v>
          </cell>
          <cell r="BB40">
            <v>6595.2308069999999</v>
          </cell>
          <cell r="BC40">
            <v>7999.5020000000004</v>
          </cell>
          <cell r="BD40">
            <v>6440</v>
          </cell>
          <cell r="BE40">
            <v>128.78787878787878</v>
          </cell>
          <cell r="BF40">
            <v>120.56737588652481</v>
          </cell>
          <cell r="BG40">
            <v>96000</v>
          </cell>
          <cell r="BH40">
            <v>60997</v>
          </cell>
          <cell r="BI40">
            <v>72000</v>
          </cell>
          <cell r="BJ40">
            <v>78000</v>
          </cell>
          <cell r="BK40">
            <v>78000</v>
          </cell>
          <cell r="BL40">
            <v>81.884615384615387</v>
          </cell>
          <cell r="BM40">
            <v>128.95215021199274</v>
          </cell>
          <cell r="BN40">
            <v>1000000</v>
          </cell>
          <cell r="BO40">
            <v>865830.1703329999</v>
          </cell>
          <cell r="BP40">
            <v>1219050.949</v>
          </cell>
          <cell r="BQ40">
            <v>1600000</v>
          </cell>
          <cell r="BR40">
            <v>160</v>
          </cell>
          <cell r="BS40">
            <v>131.24964147827424</v>
          </cell>
          <cell r="BT40">
            <v>11000</v>
          </cell>
          <cell r="BU40">
            <v>12375.412189999999</v>
          </cell>
          <cell r="BV40">
            <v>13616</v>
          </cell>
          <cell r="BW40">
            <v>11329</v>
          </cell>
          <cell r="BX40">
            <v>102.84782608695653</v>
          </cell>
          <cell r="BY40">
            <v>93.571993670886073</v>
          </cell>
          <cell r="BZ40">
            <v>3600</v>
          </cell>
          <cell r="CA40">
            <v>6783.2546360000006</v>
          </cell>
          <cell r="CB40">
            <v>7170</v>
          </cell>
          <cell r="CC40">
            <v>4700</v>
          </cell>
        </row>
        <row r="41">
          <cell r="A41" t="str">
            <v>Cục Thuế giao</v>
          </cell>
          <cell r="L41" t="e">
            <v>#DIV/0!</v>
          </cell>
          <cell r="M41" t="e">
            <v>#DIV/0!</v>
          </cell>
          <cell r="N41">
            <v>154400</v>
          </cell>
          <cell r="Q41">
            <v>150000</v>
          </cell>
          <cell r="AG41">
            <v>50000</v>
          </cell>
          <cell r="AH41">
            <v>35677.426827999996</v>
          </cell>
          <cell r="AI41">
            <v>36000</v>
          </cell>
          <cell r="AJ41">
            <v>6500</v>
          </cell>
          <cell r="AK41">
            <v>39500</v>
          </cell>
          <cell r="AO41">
            <v>20561</v>
          </cell>
          <cell r="AP41">
            <v>36000</v>
          </cell>
          <cell r="AQ41">
            <v>31500</v>
          </cell>
          <cell r="AT41">
            <v>5000</v>
          </cell>
          <cell r="AU41">
            <v>7500</v>
          </cell>
          <cell r="AV41">
            <v>9079.4808069999999</v>
          </cell>
          <cell r="AW41">
            <v>10499.902</v>
          </cell>
          <cell r="AX41">
            <v>2200</v>
          </cell>
          <cell r="AZ41">
            <v>25500</v>
          </cell>
          <cell r="BD41">
            <v>5800</v>
          </cell>
          <cell r="BF41">
            <v>25500</v>
          </cell>
          <cell r="BJ41">
            <v>78000</v>
          </cell>
          <cell r="BM41">
            <v>25500</v>
          </cell>
          <cell r="BQ41">
            <v>1600000</v>
          </cell>
          <cell r="BS41">
            <v>25500</v>
          </cell>
          <cell r="BW41">
            <v>2500</v>
          </cell>
        </row>
      </sheetData>
      <sheetData sheetId="9"/>
      <sheetData sheetId="10"/>
      <sheetData sheetId="11"/>
      <sheetData sheetId="12"/>
      <sheetData sheetId="13"/>
      <sheetData sheetId="14"/>
      <sheetData sheetId="15"/>
      <sheetData sheetId="16"/>
      <sheetData sheetId="17">
        <row r="3">
          <cell r="A3">
            <v>1</v>
          </cell>
          <cell r="B3" t="str">
            <v>Thị trấn Bích Động</v>
          </cell>
          <cell r="C3">
            <v>194</v>
          </cell>
          <cell r="D3">
            <v>389</v>
          </cell>
          <cell r="E3">
            <v>350</v>
          </cell>
          <cell r="F3">
            <v>100.3</v>
          </cell>
        </row>
        <row r="4">
          <cell r="A4">
            <v>4</v>
          </cell>
          <cell r="B4" t="str">
            <v>Thị trấn Nếnh</v>
          </cell>
          <cell r="C4">
            <v>220</v>
          </cell>
          <cell r="D4">
            <v>446</v>
          </cell>
          <cell r="E4">
            <v>400</v>
          </cell>
          <cell r="F4">
            <v>100</v>
          </cell>
        </row>
        <row r="5">
          <cell r="A5">
            <v>8</v>
          </cell>
          <cell r="B5" t="str">
            <v>Xã Hồng Thái</v>
          </cell>
          <cell r="C5">
            <v>109</v>
          </cell>
          <cell r="D5">
            <v>221</v>
          </cell>
          <cell r="E5">
            <v>200</v>
          </cell>
          <cell r="F5">
            <v>30</v>
          </cell>
        </row>
        <row r="6">
          <cell r="A6">
            <v>12</v>
          </cell>
          <cell r="B6" t="str">
            <v>Xã Hương Mai</v>
          </cell>
          <cell r="C6">
            <v>24</v>
          </cell>
          <cell r="D6">
            <v>48</v>
          </cell>
          <cell r="E6">
            <v>42</v>
          </cell>
          <cell r="F6">
            <v>8</v>
          </cell>
        </row>
        <row r="7">
          <cell r="A7">
            <v>3</v>
          </cell>
          <cell r="B7" t="str">
            <v>Xã Minh Đức</v>
          </cell>
          <cell r="C7">
            <v>32</v>
          </cell>
          <cell r="D7">
            <v>68</v>
          </cell>
          <cell r="E7">
            <v>56</v>
          </cell>
          <cell r="F7">
            <v>14</v>
          </cell>
        </row>
        <row r="8">
          <cell r="A8">
            <v>7</v>
          </cell>
          <cell r="B8" t="str">
            <v>Xã Ninh Sơn</v>
          </cell>
          <cell r="C8">
            <v>37</v>
          </cell>
          <cell r="D8">
            <v>77</v>
          </cell>
          <cell r="E8">
            <v>63</v>
          </cell>
          <cell r="F8">
            <v>7.3</v>
          </cell>
        </row>
        <row r="9">
          <cell r="A9">
            <v>2</v>
          </cell>
          <cell r="B9" t="str">
            <v>Xã Nghĩa Trung</v>
          </cell>
          <cell r="C9">
            <v>42</v>
          </cell>
          <cell r="D9">
            <v>83</v>
          </cell>
          <cell r="E9">
            <v>73</v>
          </cell>
          <cell r="F9">
            <v>7</v>
          </cell>
        </row>
        <row r="10">
          <cell r="A10">
            <v>6</v>
          </cell>
          <cell r="B10" t="str">
            <v>Xã Quang Châu</v>
          </cell>
          <cell r="C10">
            <v>139</v>
          </cell>
          <cell r="D10">
            <v>282</v>
          </cell>
          <cell r="E10">
            <v>275</v>
          </cell>
          <cell r="F10">
            <v>25</v>
          </cell>
        </row>
        <row r="11">
          <cell r="A11">
            <v>5</v>
          </cell>
          <cell r="B11" t="str">
            <v>Xã Quảng Minh</v>
          </cell>
          <cell r="C11">
            <v>36</v>
          </cell>
          <cell r="D11">
            <v>71</v>
          </cell>
          <cell r="E11">
            <v>67</v>
          </cell>
          <cell r="F11">
            <v>18</v>
          </cell>
        </row>
        <row r="12">
          <cell r="A12">
            <v>9</v>
          </cell>
          <cell r="B12" t="str">
            <v>Xã Tăng Tiến</v>
          </cell>
          <cell r="C12">
            <v>82</v>
          </cell>
          <cell r="D12">
            <v>170</v>
          </cell>
          <cell r="E12">
            <v>162</v>
          </cell>
          <cell r="F12">
            <v>52</v>
          </cell>
        </row>
        <row r="13">
          <cell r="A13">
            <v>16</v>
          </cell>
          <cell r="B13" t="str">
            <v>Xã Tiên Sơn</v>
          </cell>
          <cell r="C13">
            <v>18</v>
          </cell>
          <cell r="D13">
            <v>37</v>
          </cell>
          <cell r="E13">
            <v>35</v>
          </cell>
          <cell r="F13">
            <v>5</v>
          </cell>
        </row>
        <row r="14">
          <cell r="A14">
            <v>11</v>
          </cell>
          <cell r="B14" t="str">
            <v>Xã Tự Lạn</v>
          </cell>
          <cell r="C14">
            <v>47</v>
          </cell>
          <cell r="D14">
            <v>91</v>
          </cell>
          <cell r="E14">
            <v>89</v>
          </cell>
          <cell r="F14">
            <v>16.3</v>
          </cell>
        </row>
        <row r="15">
          <cell r="A15">
            <v>14</v>
          </cell>
          <cell r="B15" t="str">
            <v>Xã Thượng Lan</v>
          </cell>
          <cell r="C15">
            <v>18</v>
          </cell>
          <cell r="D15">
            <v>37</v>
          </cell>
          <cell r="E15">
            <v>27</v>
          </cell>
          <cell r="F15">
            <v>3</v>
          </cell>
        </row>
        <row r="16">
          <cell r="A16">
            <v>15</v>
          </cell>
          <cell r="B16" t="str">
            <v>Xã Trung Sơn</v>
          </cell>
          <cell r="C16">
            <v>18</v>
          </cell>
          <cell r="D16">
            <v>37</v>
          </cell>
          <cell r="E16">
            <v>28</v>
          </cell>
          <cell r="F16">
            <v>2</v>
          </cell>
        </row>
        <row r="17">
          <cell r="A17">
            <v>17</v>
          </cell>
          <cell r="B17" t="str">
            <v>Xã Vân Hà</v>
          </cell>
          <cell r="C17">
            <v>16</v>
          </cell>
          <cell r="D17">
            <v>34</v>
          </cell>
          <cell r="E17">
            <v>22</v>
          </cell>
          <cell r="F17">
            <v>3</v>
          </cell>
        </row>
        <row r="18">
          <cell r="A18">
            <v>10</v>
          </cell>
          <cell r="B18" t="str">
            <v>Xã Vân Trung</v>
          </cell>
          <cell r="C18">
            <v>39</v>
          </cell>
          <cell r="D18">
            <v>79</v>
          </cell>
          <cell r="E18">
            <v>72</v>
          </cell>
          <cell r="F18">
            <v>68</v>
          </cell>
        </row>
        <row r="19">
          <cell r="A19">
            <v>13</v>
          </cell>
          <cell r="B19" t="str">
            <v>Xã Việt Tiến</v>
          </cell>
          <cell r="C19">
            <v>70</v>
          </cell>
          <cell r="D19">
            <v>145</v>
          </cell>
          <cell r="E19">
            <v>118</v>
          </cell>
          <cell r="F19">
            <v>22</v>
          </cell>
        </row>
        <row r="20">
          <cell r="C20">
            <v>1141</v>
          </cell>
          <cell r="D20">
            <v>2315</v>
          </cell>
          <cell r="E20">
            <v>2079</v>
          </cell>
          <cell r="F20">
            <v>480.90000000000003</v>
          </cell>
        </row>
      </sheetData>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ân đối NSH"/>
      <sheetName val="Tổng thu"/>
      <sheetName val="Tổng chi"/>
      <sheetName val="chi các CQ"/>
      <sheetName val="Thu xã (NQmới)"/>
      <sheetName val="Chi xã (NQ mới)"/>
      <sheetName val="Số BScân đối NSX"/>
      <sheetName val="BS DQTV"/>
      <sheetName val="Sheet2"/>
      <sheetName val="Sheet3"/>
      <sheetName val="Sheet4"/>
    </sheetNames>
    <sheetDataSet>
      <sheetData sheetId="0"/>
      <sheetData sheetId="1"/>
      <sheetData sheetId="2">
        <row r="12">
          <cell r="H12">
            <v>20609</v>
          </cell>
        </row>
        <row r="13">
          <cell r="H13">
            <v>8841</v>
          </cell>
        </row>
        <row r="14">
          <cell r="H14">
            <v>4164</v>
          </cell>
        </row>
        <row r="15">
          <cell r="H15">
            <v>511</v>
          </cell>
        </row>
        <row r="25">
          <cell r="H25">
            <v>62449</v>
          </cell>
        </row>
        <row r="41">
          <cell r="H41">
            <v>30961</v>
          </cell>
        </row>
      </sheetData>
      <sheetData sheetId="3"/>
      <sheetData sheetId="4">
        <row r="8">
          <cell r="AF8">
            <v>66000</v>
          </cell>
        </row>
      </sheetData>
      <sheetData sheetId="5">
        <row r="9">
          <cell r="DB9">
            <v>74349.796190000008</v>
          </cell>
          <cell r="DC9">
            <v>957.59999999999991</v>
          </cell>
        </row>
      </sheetData>
      <sheetData sheetId="6"/>
      <sheetData sheetId="7">
        <row r="5">
          <cell r="D5">
            <v>553248</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ân đối NSH"/>
      <sheetName val="Tổng thu"/>
      <sheetName val="Tổng chi"/>
      <sheetName val="chi các CQ"/>
      <sheetName val="Thu xã (NQmới)"/>
      <sheetName val="Chi xã (NQ mới)"/>
      <sheetName val="Số BScân đối NSX"/>
      <sheetName val="BS DQTV"/>
      <sheetName val="Sheet2"/>
    </sheetNames>
    <sheetDataSet>
      <sheetData sheetId="0"/>
      <sheetData sheetId="1"/>
      <sheetData sheetId="2"/>
      <sheetData sheetId="3">
        <row r="10">
          <cell r="D10">
            <v>67</v>
          </cell>
        </row>
        <row r="19">
          <cell r="D19">
            <v>18</v>
          </cell>
        </row>
        <row r="30">
          <cell r="D30">
            <v>10</v>
          </cell>
        </row>
        <row r="36">
          <cell r="D36">
            <v>20</v>
          </cell>
        </row>
        <row r="45">
          <cell r="D45">
            <v>20</v>
          </cell>
        </row>
        <row r="53">
          <cell r="D53">
            <v>20</v>
          </cell>
        </row>
        <row r="59">
          <cell r="D59">
            <v>7</v>
          </cell>
        </row>
        <row r="67">
          <cell r="D67">
            <v>20</v>
          </cell>
        </row>
        <row r="93">
          <cell r="D93">
            <v>15</v>
          </cell>
        </row>
        <row r="101">
          <cell r="D101">
            <v>20</v>
          </cell>
        </row>
        <row r="111">
          <cell r="D111">
            <v>20</v>
          </cell>
        </row>
        <row r="117">
          <cell r="D117">
            <v>15</v>
          </cell>
        </row>
        <row r="123">
          <cell r="D123">
            <v>107</v>
          </cell>
        </row>
        <row r="137">
          <cell r="D137">
            <v>17</v>
          </cell>
        </row>
        <row r="149">
          <cell r="D149">
            <v>10</v>
          </cell>
        </row>
        <row r="156">
          <cell r="D156">
            <v>7</v>
          </cell>
        </row>
        <row r="165">
          <cell r="D165">
            <v>13</v>
          </cell>
        </row>
        <row r="173">
          <cell r="D173">
            <v>7</v>
          </cell>
        </row>
      </sheetData>
      <sheetData sheetId="4"/>
      <sheetData sheetId="5">
        <row r="39">
          <cell r="DB39">
            <v>2718.6428390000005</v>
          </cell>
        </row>
        <row r="44">
          <cell r="DB44">
            <v>1063.6644399999998</v>
          </cell>
        </row>
        <row r="47">
          <cell r="DB47">
            <v>1648.6470000000002</v>
          </cell>
        </row>
        <row r="50">
          <cell r="DB50">
            <v>1315</v>
          </cell>
        </row>
        <row r="53">
          <cell r="DB53">
            <v>1172.39204</v>
          </cell>
        </row>
        <row r="58">
          <cell r="DB58">
            <v>5882.9045999999998</v>
          </cell>
        </row>
        <row r="63">
          <cell r="DB63">
            <v>8605.8221140000005</v>
          </cell>
        </row>
        <row r="68">
          <cell r="DB68">
            <v>3029.6959999999999</v>
          </cell>
        </row>
        <row r="76">
          <cell r="DB76">
            <v>514.93282611500013</v>
          </cell>
        </row>
        <row r="77">
          <cell r="DB77">
            <v>5462.0749024557508</v>
          </cell>
        </row>
        <row r="78">
          <cell r="DB78">
            <v>4610.4000000000005</v>
          </cell>
        </row>
      </sheetData>
      <sheetData sheetId="6">
        <row r="23">
          <cell r="E23">
            <v>56448.36809312574</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u"/>
      <sheetName val="Sheet4"/>
      <sheetName val="CT chi"/>
      <sheetName val="DT thu"/>
      <sheetName val="DT chi"/>
      <sheetName val="Sheet1"/>
    </sheetNames>
    <sheetDataSet>
      <sheetData sheetId="0"/>
      <sheetData sheetId="1"/>
      <sheetData sheetId="2">
        <row r="10">
          <cell r="J10">
            <v>7058.9807617999995</v>
          </cell>
          <cell r="Q10">
            <v>5959.988675216001</v>
          </cell>
          <cell r="X10">
            <v>4056.2967456399992</v>
          </cell>
          <cell r="AE10">
            <v>3411.49127563</v>
          </cell>
          <cell r="AL10">
            <v>3864.2683885599999</v>
          </cell>
          <cell r="AS10">
            <v>5292.72238208</v>
          </cell>
          <cell r="AZ10">
            <v>4175.2604852799996</v>
          </cell>
          <cell r="BG10">
            <v>3548.9529435999998</v>
          </cell>
          <cell r="BN10">
            <v>4538.2933590399998</v>
          </cell>
          <cell r="BU10">
            <v>3722.5115109999997</v>
          </cell>
          <cell r="CB10">
            <v>3676.6623633999998</v>
          </cell>
          <cell r="CI10">
            <v>3553.8507225999997</v>
          </cell>
          <cell r="CP10">
            <v>3592.0805585200001</v>
          </cell>
          <cell r="CW10">
            <v>4018.1233568799998</v>
          </cell>
          <cell r="DD10">
            <v>3825.5064974799998</v>
          </cell>
          <cell r="DK10">
            <v>3261.3055649199996</v>
          </cell>
          <cell r="DR10">
            <v>4125.0145026399996</v>
          </cell>
        </row>
        <row r="34">
          <cell r="J34">
            <v>208.68976000000001</v>
          </cell>
          <cell r="Q34">
            <v>265.60816</v>
          </cell>
          <cell r="X34">
            <v>144.41242</v>
          </cell>
          <cell r="AE34">
            <v>135.23635000000002</v>
          </cell>
          <cell r="AL34">
            <v>165.41201000000001</v>
          </cell>
          <cell r="AS34">
            <v>235.64958000000001</v>
          </cell>
          <cell r="AZ34">
            <v>155.78130999999999</v>
          </cell>
          <cell r="BG34">
            <v>116.23132000000001</v>
          </cell>
          <cell r="BN34">
            <v>184.21501999999998</v>
          </cell>
          <cell r="BU34">
            <v>134.97327999999999</v>
          </cell>
          <cell r="CB34">
            <v>148.70645000000002</v>
          </cell>
          <cell r="CI34">
            <v>137.61108999999999</v>
          </cell>
          <cell r="CP34">
            <v>134.14852000000002</v>
          </cell>
          <cell r="CW34">
            <v>134.35512</v>
          </cell>
          <cell r="DD34">
            <v>144.74994000000001</v>
          </cell>
          <cell r="DK34">
            <v>102.11756</v>
          </cell>
          <cell r="DR34">
            <v>190.60608999999999</v>
          </cell>
        </row>
        <row r="44">
          <cell r="J44">
            <v>83.7</v>
          </cell>
          <cell r="Q44">
            <v>83.7</v>
          </cell>
          <cell r="X44">
            <v>66.599999999999994</v>
          </cell>
          <cell r="AE44">
            <v>66.599999999999994</v>
          </cell>
          <cell r="AL44">
            <v>66.599999999999994</v>
          </cell>
          <cell r="AS44">
            <v>83.7</v>
          </cell>
          <cell r="AZ44">
            <v>66.599999999999994</v>
          </cell>
          <cell r="BG44">
            <v>66.599999999999994</v>
          </cell>
          <cell r="BN44">
            <v>66.599999999999994</v>
          </cell>
          <cell r="BU44">
            <v>66.599999999999994</v>
          </cell>
          <cell r="CB44">
            <v>66.599999999999994</v>
          </cell>
          <cell r="CI44">
            <v>66.599999999999994</v>
          </cell>
          <cell r="CP44">
            <v>66.599999999999994</v>
          </cell>
          <cell r="CW44">
            <v>66.599999999999994</v>
          </cell>
          <cell r="DD44">
            <v>66.599999999999994</v>
          </cell>
          <cell r="DK44">
            <v>66.599999999999994</v>
          </cell>
          <cell r="DR44">
            <v>66.599999999999994</v>
          </cell>
        </row>
        <row r="47">
          <cell r="J47">
            <v>39.676769999999998</v>
          </cell>
          <cell r="Q47">
            <v>73.766069999999999</v>
          </cell>
          <cell r="X47">
            <v>25.459811999999999</v>
          </cell>
          <cell r="AE47">
            <v>29.860109999999999</v>
          </cell>
          <cell r="AL47">
            <v>30.669785999999998</v>
          </cell>
          <cell r="AS47">
            <v>38.573387999999994</v>
          </cell>
          <cell r="AZ47">
            <v>29.690765999999996</v>
          </cell>
          <cell r="BG47">
            <v>22.787351999999998</v>
          </cell>
          <cell r="BN47">
            <v>29.852171999999999</v>
          </cell>
          <cell r="BU47">
            <v>29.762207999999998</v>
          </cell>
          <cell r="CB47">
            <v>32.267969999999998</v>
          </cell>
          <cell r="CI47">
            <v>30.743874000000002</v>
          </cell>
          <cell r="CP47">
            <v>29.455271999999997</v>
          </cell>
          <cell r="CW47">
            <v>24.322032</v>
          </cell>
          <cell r="DD47">
            <v>28.190483999999998</v>
          </cell>
          <cell r="DK47">
            <v>22.745016</v>
          </cell>
          <cell r="DR47">
            <v>42.650874000000002</v>
          </cell>
        </row>
        <row r="50">
          <cell r="J50">
            <v>383.41775999999999</v>
          </cell>
          <cell r="Q50">
            <v>571.50456000000008</v>
          </cell>
          <cell r="X50">
            <v>247.91309999999999</v>
          </cell>
          <cell r="AE50">
            <v>366.73935</v>
          </cell>
          <cell r="AL50">
            <v>281.39625000000001</v>
          </cell>
          <cell r="AS50">
            <v>671.05770000000007</v>
          </cell>
          <cell r="AZ50">
            <v>365.34255000000002</v>
          </cell>
          <cell r="BG50">
            <v>215.26499999999999</v>
          </cell>
          <cell r="BN50">
            <v>427.88970000000006</v>
          </cell>
          <cell r="BU50">
            <v>278.82240000000002</v>
          </cell>
          <cell r="CB50">
            <v>287.42205000000001</v>
          </cell>
          <cell r="CI50">
            <v>285.44684999999998</v>
          </cell>
          <cell r="CP50">
            <v>229.69499999999999</v>
          </cell>
          <cell r="CW50">
            <v>331.56240000000003</v>
          </cell>
          <cell r="DD50">
            <v>336.8433</v>
          </cell>
          <cell r="DK50">
            <v>530.85239999999999</v>
          </cell>
          <cell r="DR50">
            <v>169.47884999999999</v>
          </cell>
        </row>
        <row r="59">
          <cell r="J59">
            <v>186.91860599999998</v>
          </cell>
          <cell r="Q59">
            <v>242.55273</v>
          </cell>
          <cell r="X59">
            <v>125.46136399999999</v>
          </cell>
          <cell r="AE59">
            <v>126.75023800000001</v>
          </cell>
          <cell r="AL59">
            <v>130.66179400000001</v>
          </cell>
          <cell r="AS59">
            <v>159.87637999999998</v>
          </cell>
          <cell r="AZ59">
            <v>128.65499</v>
          </cell>
          <cell r="BG59">
            <v>112.58526400000001</v>
          </cell>
          <cell r="BN59">
            <v>133.96818799999997</v>
          </cell>
          <cell r="BU59">
            <v>132.92163200000002</v>
          </cell>
          <cell r="CB59">
            <v>125.14389096000001</v>
          </cell>
          <cell r="CI59">
            <v>114.719418</v>
          </cell>
          <cell r="CP59">
            <v>115.89916000000001</v>
          </cell>
          <cell r="CW59">
            <v>108.75713999999999</v>
          </cell>
          <cell r="DD59">
            <v>120.08766799999999</v>
          </cell>
          <cell r="DK59">
            <v>96.222067999999993</v>
          </cell>
          <cell r="DR59">
            <v>154.830546</v>
          </cell>
        </row>
        <row r="65">
          <cell r="J65">
            <v>80.001323999999997</v>
          </cell>
          <cell r="Q65">
            <v>148.73648399999999</v>
          </cell>
          <cell r="X65">
            <v>45.223399999999998</v>
          </cell>
          <cell r="AE65">
            <v>53.039499999999997</v>
          </cell>
          <cell r="AL65">
            <v>54.477699999999999</v>
          </cell>
          <cell r="AS65">
            <v>68.516599999999997</v>
          </cell>
          <cell r="AZ65">
            <v>52.738700000000001</v>
          </cell>
          <cell r="BG65">
            <v>40.476399999999998</v>
          </cell>
          <cell r="BN65">
            <v>53.025399999999998</v>
          </cell>
          <cell r="BU65">
            <v>52.865600000000001</v>
          </cell>
          <cell r="CB65">
            <v>57.316499999999998</v>
          </cell>
          <cell r="CI65">
            <v>54.609299999999998</v>
          </cell>
          <cell r="CP65">
            <v>52.320399999999999</v>
          </cell>
          <cell r="CW65">
            <v>43.202399999999997</v>
          </cell>
          <cell r="DD65">
            <v>50.073799999999999</v>
          </cell>
          <cell r="DK65">
            <v>40.401200000000003</v>
          </cell>
          <cell r="DR65">
            <v>75.759299999999996</v>
          </cell>
        </row>
        <row r="69">
          <cell r="J69">
            <v>227.75904000000003</v>
          </cell>
          <cell r="Q69">
            <v>434.58263999999997</v>
          </cell>
          <cell r="X69">
            <v>142.94861999999998</v>
          </cell>
          <cell r="AE69">
            <v>183.20985000000002</v>
          </cell>
          <cell r="AL69">
            <v>190.61811000000003</v>
          </cell>
          <cell r="AS69">
            <v>217.93337999999997</v>
          </cell>
          <cell r="AZ69">
            <v>181.66040999999998</v>
          </cell>
          <cell r="BG69">
            <v>118.49652</v>
          </cell>
          <cell r="BN69">
            <v>183.13721999999999</v>
          </cell>
          <cell r="BU69">
            <v>182.31407999999999</v>
          </cell>
          <cell r="CB69">
            <v>160.24095</v>
          </cell>
          <cell r="CI69">
            <v>191.29599000000002</v>
          </cell>
          <cell r="CP69">
            <v>179.50572</v>
          </cell>
          <cell r="CW69">
            <v>132.53832</v>
          </cell>
          <cell r="DD69">
            <v>129.68334000000002</v>
          </cell>
          <cell r="DK69">
            <v>118.10916</v>
          </cell>
          <cell r="DR69">
            <v>210.24098999999998</v>
          </cell>
        </row>
        <row r="73">
          <cell r="J73">
            <v>99.867599999999996</v>
          </cell>
          <cell r="Q73">
            <v>180.65159999999997</v>
          </cell>
          <cell r="X73">
            <v>28.866</v>
          </cell>
          <cell r="AE73">
            <v>33.854999999999997</v>
          </cell>
          <cell r="AL73">
            <v>34.773000000000003</v>
          </cell>
          <cell r="AS73">
            <v>43.734000000000002</v>
          </cell>
          <cell r="AZ73">
            <v>33.662999999999997</v>
          </cell>
          <cell r="BG73">
            <v>25.835999999999999</v>
          </cell>
          <cell r="BN73">
            <v>33.845999999999997</v>
          </cell>
          <cell r="BU73">
            <v>33.744</v>
          </cell>
          <cell r="CB73">
            <v>36.585000000000001</v>
          </cell>
          <cell r="CI73">
            <v>34.856999999999999</v>
          </cell>
          <cell r="CP73">
            <v>33.396000000000001</v>
          </cell>
          <cell r="CW73">
            <v>27.576000000000001</v>
          </cell>
          <cell r="DD73">
            <v>31.962</v>
          </cell>
          <cell r="DK73">
            <v>25.788</v>
          </cell>
          <cell r="DR73">
            <v>48.356999999999999</v>
          </cell>
        </row>
        <row r="77">
          <cell r="J77">
            <v>42.884301809</v>
          </cell>
          <cell r="Q77">
            <v>41.187681296080001</v>
          </cell>
          <cell r="X77">
            <v>24.890934948199995</v>
          </cell>
          <cell r="AE77">
            <v>22.54489006815</v>
          </cell>
          <cell r="AL77">
            <v>24.611982612800006</v>
          </cell>
          <cell r="AS77">
            <v>34.717993410399998</v>
          </cell>
          <cell r="AZ77">
            <v>26.456559076399994</v>
          </cell>
          <cell r="BG77">
            <v>21.789345438000002</v>
          </cell>
          <cell r="BN77">
            <v>28.765052135199998</v>
          </cell>
          <cell r="BU77">
            <v>23.682755314999994</v>
          </cell>
          <cell r="CB77">
            <v>23.460381771800002</v>
          </cell>
          <cell r="CI77">
            <v>22.866874003</v>
          </cell>
          <cell r="CP77">
            <v>22.673176992599991</v>
          </cell>
          <cell r="CW77">
            <v>24.900914884399999</v>
          </cell>
          <cell r="DD77">
            <v>24.144574627400004</v>
          </cell>
          <cell r="DK77">
            <v>21.773550364599991</v>
          </cell>
          <cell r="DR77">
            <v>25.983183543199999</v>
          </cell>
        </row>
        <row r="79">
          <cell r="H79">
            <v>391.78978654435997</v>
          </cell>
          <cell r="Q79">
            <v>381.1489576204832</v>
          </cell>
          <cell r="X79">
            <v>250.12311698352795</v>
          </cell>
          <cell r="AE79">
            <v>231.260916147926</v>
          </cell>
          <cell r="AL79">
            <v>247.88034020691205</v>
          </cell>
          <cell r="AS79">
            <v>329.13266701961595</v>
          </cell>
          <cell r="AZ79">
            <v>262.71073497425596</v>
          </cell>
          <cell r="BG79">
            <v>175.18633732152</v>
          </cell>
          <cell r="BN79">
            <v>231.27101916700798</v>
          </cell>
          <cell r="BU79">
            <v>190.40935273259996</v>
          </cell>
          <cell r="CB79">
            <v>188.62146944527203</v>
          </cell>
          <cell r="CI79">
            <v>183.84966698411998</v>
          </cell>
          <cell r="CP79">
            <v>182.29234302050395</v>
          </cell>
          <cell r="CW79">
            <v>200.203355670576</v>
          </cell>
          <cell r="DD79">
            <v>194.12238000429602</v>
          </cell>
          <cell r="DK79">
            <v>175.05934493138395</v>
          </cell>
          <cell r="DR79">
            <v>208.90479568732798</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thu"/>
      <sheetName val="CT chi"/>
      <sheetName val="DT chi"/>
      <sheetName val="BSCD-BSCMT"/>
    </sheetNames>
    <sheetDataSet>
      <sheetData sheetId="0">
        <row r="10">
          <cell r="AG10">
            <v>38000</v>
          </cell>
        </row>
        <row r="11">
          <cell r="AG11">
            <v>17200</v>
          </cell>
        </row>
        <row r="12">
          <cell r="AG12">
            <v>400</v>
          </cell>
        </row>
        <row r="13">
          <cell r="AG13">
            <v>0</v>
          </cell>
        </row>
        <row r="14">
          <cell r="AG14">
            <v>0</v>
          </cell>
        </row>
        <row r="15">
          <cell r="AG15">
            <v>1000</v>
          </cell>
        </row>
        <row r="16">
          <cell r="AG16">
            <v>0</v>
          </cell>
        </row>
        <row r="17">
          <cell r="AG17">
            <v>0</v>
          </cell>
        </row>
        <row r="18">
          <cell r="AG18">
            <v>8000</v>
          </cell>
        </row>
        <row r="19">
          <cell r="AG19">
            <v>0</v>
          </cell>
        </row>
        <row r="20">
          <cell r="AG20">
            <v>0</v>
          </cell>
        </row>
        <row r="21">
          <cell r="AG21">
            <v>2500</v>
          </cell>
        </row>
        <row r="22">
          <cell r="AG22">
            <v>900</v>
          </cell>
        </row>
        <row r="23">
          <cell r="AG23">
            <v>3500</v>
          </cell>
        </row>
        <row r="24">
          <cell r="AG24">
            <v>12500</v>
          </cell>
        </row>
        <row r="26">
          <cell r="AG26">
            <v>16000</v>
          </cell>
        </row>
      </sheetData>
      <sheetData sheetId="1">
        <row r="12">
          <cell r="J12">
            <v>6940.9807617999995</v>
          </cell>
          <cell r="T12">
            <v>5841.988675216001</v>
          </cell>
          <cell r="AD12">
            <v>3938.2967456399992</v>
          </cell>
          <cell r="AN12">
            <v>3293.49127563</v>
          </cell>
          <cell r="AX12">
            <v>3746.2683885599999</v>
          </cell>
          <cell r="BH12">
            <v>5174.72238208</v>
          </cell>
          <cell r="BR12">
            <v>4057.2604852799996</v>
          </cell>
          <cell r="CB12">
            <v>3430.9529435999998</v>
          </cell>
          <cell r="CL12">
            <v>4420.2933590399998</v>
          </cell>
          <cell r="CV12">
            <v>3604.5115109999997</v>
          </cell>
          <cell r="DF12">
            <v>3558.6623633999998</v>
          </cell>
          <cell r="DP12">
            <v>3435.8507225999997</v>
          </cell>
          <cell r="DZ12">
            <v>3474.0805585200001</v>
          </cell>
          <cell r="EJ12">
            <v>3900.1233568799994</v>
          </cell>
          <cell r="ET12">
            <v>3707.5064974799998</v>
          </cell>
          <cell r="FD12">
            <v>3143.3055649199996</v>
          </cell>
          <cell r="FN12">
            <v>4001.01450264</v>
          </cell>
        </row>
        <row r="36">
          <cell r="J36">
            <v>208.68976000000001</v>
          </cell>
          <cell r="T36">
            <v>265.60816</v>
          </cell>
          <cell r="AD36">
            <v>144.41242</v>
          </cell>
          <cell r="AN36">
            <v>135.23635000000002</v>
          </cell>
          <cell r="AX36">
            <v>165.41201000000001</v>
          </cell>
          <cell r="BH36">
            <v>235.64958000000001</v>
          </cell>
          <cell r="BR36">
            <v>155.78130999999999</v>
          </cell>
          <cell r="CB36">
            <v>116.23132000000001</v>
          </cell>
          <cell r="CL36">
            <v>184.21501999999998</v>
          </cell>
          <cell r="CV36">
            <v>134.97327999999999</v>
          </cell>
          <cell r="DF36">
            <v>148.70645000000002</v>
          </cell>
          <cell r="DP36">
            <v>137.61108999999999</v>
          </cell>
          <cell r="DZ36">
            <v>134.14852000000002</v>
          </cell>
          <cell r="EJ36">
            <v>134.35512</v>
          </cell>
          <cell r="ET36">
            <v>144.74994000000001</v>
          </cell>
          <cell r="FD36">
            <v>102.11756</v>
          </cell>
          <cell r="FN36">
            <v>190.60608999999999</v>
          </cell>
        </row>
        <row r="46">
          <cell r="J46">
            <v>83.7</v>
          </cell>
          <cell r="T46">
            <v>83.7</v>
          </cell>
          <cell r="AD46">
            <v>66.599999999999994</v>
          </cell>
          <cell r="AN46">
            <v>66.599999999999994</v>
          </cell>
          <cell r="AX46">
            <v>66.599999999999994</v>
          </cell>
          <cell r="BH46">
            <v>83.7</v>
          </cell>
          <cell r="BR46">
            <v>66.599999999999994</v>
          </cell>
          <cell r="CB46">
            <v>66.599999999999994</v>
          </cell>
          <cell r="CL46">
            <v>66.599999999999994</v>
          </cell>
          <cell r="CV46">
            <v>66.599999999999994</v>
          </cell>
          <cell r="DF46">
            <v>66.599999999999994</v>
          </cell>
          <cell r="DP46">
            <v>66.599999999999994</v>
          </cell>
          <cell r="DZ46">
            <v>66.599999999999994</v>
          </cell>
          <cell r="EJ46">
            <v>66.599999999999994</v>
          </cell>
          <cell r="ET46">
            <v>66.599999999999994</v>
          </cell>
          <cell r="FD46">
            <v>66.599999999999994</v>
          </cell>
          <cell r="FN46">
            <v>66.599999999999994</v>
          </cell>
        </row>
        <row r="49">
          <cell r="J49">
            <v>39.676769999999998</v>
          </cell>
          <cell r="T49">
            <v>73.766069999999999</v>
          </cell>
          <cell r="AD49">
            <v>25.459811999999999</v>
          </cell>
          <cell r="AN49">
            <v>29.860109999999999</v>
          </cell>
          <cell r="AX49">
            <v>30.669785999999998</v>
          </cell>
          <cell r="BH49">
            <v>38.573387999999994</v>
          </cell>
          <cell r="BR49">
            <v>29.690765999999996</v>
          </cell>
          <cell r="CB49">
            <v>22.787351999999998</v>
          </cell>
          <cell r="CL49">
            <v>29.852171999999999</v>
          </cell>
          <cell r="CV49">
            <v>29.762207999999998</v>
          </cell>
          <cell r="DF49">
            <v>32.267969999999998</v>
          </cell>
          <cell r="DP49">
            <v>30.743874000000002</v>
          </cell>
          <cell r="DZ49">
            <v>29.455271999999997</v>
          </cell>
          <cell r="EJ49">
            <v>24.322032</v>
          </cell>
          <cell r="ET49">
            <v>28.190483999999998</v>
          </cell>
          <cell r="FD49">
            <v>22.745016</v>
          </cell>
          <cell r="FN49">
            <v>42.650874000000002</v>
          </cell>
        </row>
        <row r="52">
          <cell r="J52">
            <v>383.41775999999999</v>
          </cell>
          <cell r="T52">
            <v>571.50456000000008</v>
          </cell>
          <cell r="AD52">
            <v>247.91309999999999</v>
          </cell>
          <cell r="AN52">
            <v>366.73935</v>
          </cell>
          <cell r="AX52">
            <v>281.39625000000001</v>
          </cell>
          <cell r="BH52">
            <v>671.05770000000007</v>
          </cell>
          <cell r="BR52">
            <v>365.34255000000002</v>
          </cell>
          <cell r="CB52">
            <v>215.26499999999999</v>
          </cell>
          <cell r="CL52">
            <v>427.88970000000006</v>
          </cell>
          <cell r="CV52">
            <v>278.82240000000002</v>
          </cell>
          <cell r="DF52">
            <v>287.42205000000001</v>
          </cell>
          <cell r="DP52">
            <v>285.44684999999998</v>
          </cell>
          <cell r="DZ52">
            <v>229.69499999999999</v>
          </cell>
          <cell r="EJ52">
            <v>331.56240000000003</v>
          </cell>
          <cell r="ET52">
            <v>336.8433</v>
          </cell>
          <cell r="FD52">
            <v>530.85239999999999</v>
          </cell>
          <cell r="FN52">
            <v>169.47884999999999</v>
          </cell>
        </row>
        <row r="61">
          <cell r="J61">
            <v>186.91860599999998</v>
          </cell>
          <cell r="T61">
            <v>242.55273</v>
          </cell>
          <cell r="AD61">
            <v>125.46136399999999</v>
          </cell>
          <cell r="AN61">
            <v>126.75023800000001</v>
          </cell>
          <cell r="AX61">
            <v>130.66179400000001</v>
          </cell>
          <cell r="BH61">
            <v>159.87637999999998</v>
          </cell>
          <cell r="BR61">
            <v>128.65499</v>
          </cell>
          <cell r="CB61">
            <v>112.58526400000001</v>
          </cell>
          <cell r="CL61">
            <v>133.96818799999997</v>
          </cell>
          <cell r="CV61">
            <v>132.92163200000002</v>
          </cell>
          <cell r="DF61">
            <v>125.14389096000001</v>
          </cell>
          <cell r="DP61">
            <v>114.719418</v>
          </cell>
          <cell r="DZ61">
            <v>115.89916000000001</v>
          </cell>
          <cell r="EJ61">
            <v>108.75713999999999</v>
          </cell>
          <cell r="ET61">
            <v>120.08766799999999</v>
          </cell>
          <cell r="FD61">
            <v>96.222067999999993</v>
          </cell>
          <cell r="FN61">
            <v>154.830546</v>
          </cell>
        </row>
        <row r="67">
          <cell r="J67">
            <v>80.001323999999997</v>
          </cell>
          <cell r="T67">
            <v>148.73648399999999</v>
          </cell>
          <cell r="AD67">
            <v>45.223399999999998</v>
          </cell>
          <cell r="AN67">
            <v>53.039499999999997</v>
          </cell>
          <cell r="AX67">
            <v>54.477699999999999</v>
          </cell>
          <cell r="BH67">
            <v>68.516599999999997</v>
          </cell>
          <cell r="BR67">
            <v>52.738700000000001</v>
          </cell>
          <cell r="CB67">
            <v>40.476399999999998</v>
          </cell>
          <cell r="CL67">
            <v>53.025399999999998</v>
          </cell>
          <cell r="CV67">
            <v>52.865600000000001</v>
          </cell>
          <cell r="DF67">
            <v>57.316499999999998</v>
          </cell>
          <cell r="DP67">
            <v>54.609299999999998</v>
          </cell>
          <cell r="DZ67">
            <v>52.320399999999999</v>
          </cell>
          <cell r="EJ67">
            <v>43.202399999999997</v>
          </cell>
          <cell r="ET67">
            <v>50.073799999999999</v>
          </cell>
          <cell r="FD67">
            <v>40.401200000000003</v>
          </cell>
          <cell r="FN67">
            <v>75.759299999999996</v>
          </cell>
        </row>
        <row r="71">
          <cell r="J71">
            <v>227.75904000000003</v>
          </cell>
          <cell r="T71">
            <v>434.58263999999997</v>
          </cell>
          <cell r="AD71">
            <v>142.94861999999998</v>
          </cell>
          <cell r="AN71">
            <v>183.20985000000002</v>
          </cell>
          <cell r="AX71">
            <v>190.61811000000003</v>
          </cell>
          <cell r="BH71">
            <v>217.93337999999997</v>
          </cell>
          <cell r="BR71">
            <v>181.66040999999998</v>
          </cell>
          <cell r="CB71">
            <v>118.49652</v>
          </cell>
          <cell r="CL71">
            <v>183.13721999999999</v>
          </cell>
          <cell r="CV71">
            <v>182.31407999999999</v>
          </cell>
          <cell r="DF71">
            <v>160.24095</v>
          </cell>
          <cell r="DP71">
            <v>191.29599000000002</v>
          </cell>
          <cell r="DZ71">
            <v>179.50572</v>
          </cell>
          <cell r="EJ71">
            <v>132.53832</v>
          </cell>
          <cell r="ET71">
            <v>129.68334000000002</v>
          </cell>
          <cell r="FD71">
            <v>118.10916</v>
          </cell>
          <cell r="FN71">
            <v>210.24098999999998</v>
          </cell>
        </row>
        <row r="75">
          <cell r="J75">
            <v>99.867599999999996</v>
          </cell>
          <cell r="T75">
            <v>180.65159999999997</v>
          </cell>
          <cell r="AD75">
            <v>28.866</v>
          </cell>
          <cell r="AN75">
            <v>33.854999999999997</v>
          </cell>
          <cell r="AX75">
            <v>34.773000000000003</v>
          </cell>
          <cell r="BH75">
            <v>43.734000000000002</v>
          </cell>
          <cell r="BR75">
            <v>33.662999999999997</v>
          </cell>
          <cell r="CB75">
            <v>25.835999999999999</v>
          </cell>
          <cell r="CL75">
            <v>33.845999999999997</v>
          </cell>
          <cell r="CV75">
            <v>33.744</v>
          </cell>
          <cell r="DF75">
            <v>36.585000000000001</v>
          </cell>
          <cell r="DP75">
            <v>34.856999999999999</v>
          </cell>
          <cell r="DZ75">
            <v>33.396000000000001</v>
          </cell>
          <cell r="EJ75">
            <v>27.576000000000001</v>
          </cell>
          <cell r="ET75">
            <v>31.962</v>
          </cell>
          <cell r="FD75">
            <v>25.788</v>
          </cell>
          <cell r="FN75">
            <v>48.356999999999999</v>
          </cell>
        </row>
        <row r="79">
          <cell r="J79">
            <v>43</v>
          </cell>
          <cell r="T79">
            <v>41</v>
          </cell>
          <cell r="AD79">
            <v>25</v>
          </cell>
          <cell r="AN79">
            <v>23</v>
          </cell>
          <cell r="AX79">
            <v>25</v>
          </cell>
          <cell r="BH79">
            <v>35</v>
          </cell>
          <cell r="BR79">
            <v>26</v>
          </cell>
          <cell r="CB79">
            <v>22</v>
          </cell>
          <cell r="CL79">
            <v>29</v>
          </cell>
          <cell r="CV79">
            <v>24</v>
          </cell>
          <cell r="DF79">
            <v>23</v>
          </cell>
          <cell r="DP79">
            <v>23</v>
          </cell>
          <cell r="DZ79">
            <v>23</v>
          </cell>
          <cell r="EJ79">
            <v>25</v>
          </cell>
          <cell r="ET79">
            <v>24</v>
          </cell>
          <cell r="FD79">
            <v>22</v>
          </cell>
          <cell r="FN79">
            <v>24</v>
          </cell>
        </row>
        <row r="81">
          <cell r="H81">
            <v>392</v>
          </cell>
          <cell r="T81">
            <v>381</v>
          </cell>
          <cell r="AD81">
            <v>250</v>
          </cell>
          <cell r="AN81">
            <v>231</v>
          </cell>
          <cell r="AX81">
            <v>248</v>
          </cell>
          <cell r="BH81">
            <v>329</v>
          </cell>
          <cell r="BR81">
            <v>263</v>
          </cell>
          <cell r="CB81">
            <v>175</v>
          </cell>
          <cell r="CL81">
            <v>231</v>
          </cell>
          <cell r="CV81">
            <v>190</v>
          </cell>
          <cell r="DF81">
            <v>189</v>
          </cell>
          <cell r="DP81">
            <v>184</v>
          </cell>
          <cell r="DZ81">
            <v>182</v>
          </cell>
          <cell r="EJ81">
            <v>200</v>
          </cell>
          <cell r="ET81">
            <v>194</v>
          </cell>
          <cell r="FD81">
            <v>175</v>
          </cell>
          <cell r="FN81">
            <v>210</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
      <sheetName val="TH"/>
      <sheetName val="Nhập data"/>
      <sheetName val="Bieu so 01 - Thu NSNN"/>
      <sheetName val="Bieu so 02 - Chi"/>
      <sheetName val="Bieu So 03 Thu NSX"/>
      <sheetName val="Huyen"/>
      <sheetName val="ĐTC"/>
      <sheetName val="Xa"/>
      <sheetName val="Các dự án KĐT, KDC"/>
      <sheetName val="Bieu so 04 Chi NSX"/>
      <sheetName val="Bieu so 05 TH DN-HTX - Thue"/>
      <sheetName val="Bieu so 06. Hộ KDCT - Thue"/>
      <sheetName val="Bieu so 07. Nhà trọ - Thue"/>
      <sheetName val="Bieu so 05 tien do thu NS"/>
      <sheetName val="Bieu so 06 Thu tien SDĐ"/>
      <sheetName val="Bieu so 09 - ĐTC"/>
      <sheetName val="Thu xa"/>
      <sheetName val="Thu"/>
      <sheetName val="Chi xa"/>
      <sheetName val="Sheet2"/>
      <sheetName val="BSCĐ xa"/>
      <sheetName val="TH ĐV"/>
      <sheetName val="BSMT"/>
      <sheetName val="Sheet3"/>
      <sheetName val="Tổng thu"/>
      <sheetName val="Sheet1"/>
      <sheetName val="Du phong"/>
      <sheetName val="Chi khac"/>
      <sheetName val="NV MOI"/>
      <sheetName val="KP PC dich"/>
    </sheetNames>
    <sheetDataSet>
      <sheetData sheetId="0"/>
      <sheetData sheetId="1"/>
      <sheetData sheetId="2">
        <row r="3">
          <cell r="C3">
            <v>8230.5570000000007</v>
          </cell>
          <cell r="D3">
            <v>3553.1243749999999</v>
          </cell>
          <cell r="E3">
            <v>10623.08711</v>
          </cell>
        </row>
        <row r="4">
          <cell r="C4">
            <v>1218.8</v>
          </cell>
          <cell r="D4">
            <v>593.375494</v>
          </cell>
          <cell r="F4">
            <v>1256.3792900000001</v>
          </cell>
        </row>
        <row r="5">
          <cell r="C5">
            <v>181332.01567200001</v>
          </cell>
          <cell r="D5">
            <v>0</v>
          </cell>
          <cell r="E5">
            <v>147223.064308</v>
          </cell>
        </row>
        <row r="7">
          <cell r="C7">
            <v>4710.1283999999996</v>
          </cell>
          <cell r="D7">
            <v>108.28</v>
          </cell>
          <cell r="E7">
            <v>10124.925251000001</v>
          </cell>
        </row>
        <row r="8">
          <cell r="C8">
            <v>1899.940589</v>
          </cell>
          <cell r="D8">
            <v>636.32899999999995</v>
          </cell>
          <cell r="E8">
            <v>1390.532193</v>
          </cell>
        </row>
        <row r="9">
          <cell r="C9">
            <v>609.96794199999999</v>
          </cell>
          <cell r="D9">
            <v>223.49142599999999</v>
          </cell>
          <cell r="E9">
            <v>660.14965800000004</v>
          </cell>
        </row>
        <row r="10">
          <cell r="C10">
            <v>591.57730100000003</v>
          </cell>
          <cell r="D10">
            <v>135.21</v>
          </cell>
          <cell r="E10">
            <v>1338.697152</v>
          </cell>
        </row>
        <row r="11">
          <cell r="C11">
            <v>4054.3920199999998</v>
          </cell>
          <cell r="D11">
            <v>303.81200000000001</v>
          </cell>
          <cell r="E11">
            <v>3939.6448759999998</v>
          </cell>
        </row>
        <row r="12">
          <cell r="C12">
            <v>17630.905863</v>
          </cell>
          <cell r="D12">
            <v>1827.5733</v>
          </cell>
          <cell r="E12">
            <v>8384.0832919999993</v>
          </cell>
        </row>
        <row r="13">
          <cell r="C13">
            <v>17020.573436999999</v>
          </cell>
          <cell r="D13">
            <v>43072.040148</v>
          </cell>
          <cell r="E13">
            <v>55535.229101999998</v>
          </cell>
        </row>
        <row r="14">
          <cell r="C14">
            <v>32295.5933</v>
          </cell>
          <cell r="D14">
            <v>2583.6323000000002</v>
          </cell>
          <cell r="E14">
            <v>75685.377850000004</v>
          </cell>
        </row>
        <row r="15">
          <cell r="C15">
            <v>1541.77</v>
          </cell>
          <cell r="D15">
            <v>61.996000000000002</v>
          </cell>
          <cell r="E15">
            <v>1048.0550000000001</v>
          </cell>
        </row>
        <row r="16">
          <cell r="C16">
            <v>638610.19942399999</v>
          </cell>
          <cell r="D16">
            <v>109289.718758</v>
          </cell>
          <cell r="E16">
            <v>663664.75321900006</v>
          </cell>
        </row>
        <row r="17">
          <cell r="C17">
            <v>23202.75</v>
          </cell>
          <cell r="D17">
            <v>0</v>
          </cell>
          <cell r="E17">
            <v>26479.5</v>
          </cell>
        </row>
        <row r="18">
          <cell r="C18">
            <v>62813.740149999998</v>
          </cell>
        </row>
        <row r="19">
          <cell r="C19">
            <v>3585</v>
          </cell>
          <cell r="D19">
            <v>513.63132199999995</v>
          </cell>
          <cell r="E19">
            <v>0</v>
          </cell>
        </row>
        <row r="20">
          <cell r="E20">
            <v>0</v>
          </cell>
        </row>
        <row r="21">
          <cell r="C21">
            <v>3000</v>
          </cell>
          <cell r="F21">
            <v>1500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0">
          <cell r="V10">
            <v>14369.179193400001</v>
          </cell>
        </row>
        <row r="31">
          <cell r="V31">
            <v>6360.2281299999995</v>
          </cell>
        </row>
        <row r="36">
          <cell r="V36">
            <v>4063.5567121999998</v>
          </cell>
        </row>
      </sheetData>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ân đối NSH"/>
      <sheetName val="Tổng thu"/>
      <sheetName val="Tổng chi"/>
      <sheetName val="chi các CQ"/>
      <sheetName val="Thu xã (NQmới)"/>
      <sheetName val="Chi xã (NQ mới)"/>
      <sheetName val="Số BScân đối NSX"/>
      <sheetName val="BS DQTV"/>
      <sheetName val="Sheet2"/>
      <sheetName val="Sheet3"/>
      <sheetName val="Sheet4"/>
    </sheetNames>
    <sheetDataSet>
      <sheetData sheetId="0" refreshError="1"/>
      <sheetData sheetId="1" refreshError="1"/>
      <sheetData sheetId="2" refreshError="1">
        <row r="12">
          <cell r="H12">
            <v>20609</v>
          </cell>
        </row>
        <row r="13">
          <cell r="H13">
            <v>8841</v>
          </cell>
        </row>
        <row r="14">
          <cell r="H14">
            <v>4164</v>
          </cell>
        </row>
        <row r="15">
          <cell r="H15">
            <v>511</v>
          </cell>
        </row>
        <row r="25">
          <cell r="H25">
            <v>62449</v>
          </cell>
        </row>
        <row r="41">
          <cell r="H41">
            <v>30961</v>
          </cell>
        </row>
      </sheetData>
      <sheetData sheetId="3" refreshError="1"/>
      <sheetData sheetId="4" refreshError="1"/>
      <sheetData sheetId="5" refreshError="1">
        <row r="9">
          <cell r="DB9">
            <v>74349.796189999994</v>
          </cell>
          <cell r="DC9">
            <v>957.6</v>
          </cell>
        </row>
      </sheetData>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ân đối NSH"/>
      <sheetName val="Tổng thu"/>
      <sheetName val="Tổng chi"/>
      <sheetName val="chi các CQ"/>
      <sheetName val="Thu xã (NQmới)"/>
      <sheetName val="Chi xã (NQ mới)"/>
      <sheetName val="Số BScân đối NSX"/>
      <sheetName val="BS DQTV"/>
      <sheetName val="Sheet2"/>
    </sheetNames>
    <sheetDataSet>
      <sheetData sheetId="0" refreshError="1"/>
      <sheetData sheetId="1" refreshError="1"/>
      <sheetData sheetId="2" refreshError="1"/>
      <sheetData sheetId="3" refreshError="1">
        <row r="10">
          <cell r="D10">
            <v>67</v>
          </cell>
        </row>
        <row r="19">
          <cell r="D19">
            <v>18</v>
          </cell>
        </row>
        <row r="30">
          <cell r="D30">
            <v>10</v>
          </cell>
        </row>
        <row r="36">
          <cell r="D36">
            <v>20</v>
          </cell>
        </row>
        <row r="45">
          <cell r="D45">
            <v>20</v>
          </cell>
        </row>
        <row r="53">
          <cell r="D53">
            <v>20</v>
          </cell>
        </row>
        <row r="59">
          <cell r="D59">
            <v>7</v>
          </cell>
        </row>
        <row r="67">
          <cell r="D67">
            <v>20</v>
          </cell>
        </row>
        <row r="93">
          <cell r="D93">
            <v>15</v>
          </cell>
        </row>
        <row r="101">
          <cell r="D101">
            <v>20</v>
          </cell>
        </row>
        <row r="111">
          <cell r="D111">
            <v>20</v>
          </cell>
        </row>
        <row r="117">
          <cell r="D117">
            <v>15</v>
          </cell>
        </row>
        <row r="123">
          <cell r="D123">
            <v>107</v>
          </cell>
        </row>
        <row r="137">
          <cell r="D137">
            <v>17</v>
          </cell>
        </row>
        <row r="149">
          <cell r="D149">
            <v>10</v>
          </cell>
        </row>
        <row r="156">
          <cell r="D156">
            <v>7</v>
          </cell>
        </row>
        <row r="165">
          <cell r="D165">
            <v>13</v>
          </cell>
        </row>
        <row r="173">
          <cell r="D173">
            <v>7</v>
          </cell>
        </row>
      </sheetData>
      <sheetData sheetId="4" refreshError="1"/>
      <sheetData sheetId="5" refreshError="1">
        <row r="39">
          <cell r="DB39">
            <v>2718.6428390000001</v>
          </cell>
        </row>
        <row r="44">
          <cell r="DB44">
            <v>1063.66444</v>
          </cell>
        </row>
        <row r="47">
          <cell r="DB47">
            <v>1648.6469999999999</v>
          </cell>
        </row>
        <row r="50">
          <cell r="DB50">
            <v>1315</v>
          </cell>
        </row>
        <row r="53">
          <cell r="DB53">
            <v>1172.39204</v>
          </cell>
        </row>
        <row r="58">
          <cell r="DB58">
            <v>5882.9045999999998</v>
          </cell>
        </row>
        <row r="63">
          <cell r="DB63">
            <v>8605.8221140000005</v>
          </cell>
        </row>
        <row r="68">
          <cell r="DB68">
            <v>3029.6959999999999</v>
          </cell>
        </row>
        <row r="76">
          <cell r="DB76">
            <v>514.93282611500001</v>
          </cell>
        </row>
        <row r="77">
          <cell r="DB77">
            <v>5462.0749024557499</v>
          </cell>
        </row>
        <row r="78">
          <cell r="DB78">
            <v>4610.3999999999996</v>
          </cell>
        </row>
      </sheetData>
      <sheetData sheetId="6" refreshError="1">
        <row r="23">
          <cell r="E23">
            <v>56448.368093125697</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115" zoomScaleNormal="100" zoomScaleSheetLayoutView="115" workbookViewId="0">
      <selection activeCell="C8" sqref="C8"/>
    </sheetView>
  </sheetViews>
  <sheetFormatPr defaultRowHeight="18" x14ac:dyDescent="0.35"/>
  <cols>
    <col min="1" max="1" width="6.69921875" style="324" customWidth="1"/>
    <col min="2" max="2" width="57.5" style="323" customWidth="1"/>
    <col min="3" max="3" width="16.3984375" style="339" customWidth="1"/>
    <col min="4" max="4" width="0" style="233" hidden="1" customWidth="1"/>
    <col min="5" max="5" width="12.19921875" style="233" hidden="1" customWidth="1"/>
    <col min="6" max="8" width="0" style="233" hidden="1" customWidth="1"/>
    <col min="9" max="256" width="8.69921875" style="233"/>
    <col min="257" max="257" width="6.69921875" style="233" customWidth="1"/>
    <col min="258" max="258" width="60.19921875" style="233" customWidth="1"/>
    <col min="259" max="259" width="16.3984375" style="233" customWidth="1"/>
    <col min="260" max="512" width="8.69921875" style="233"/>
    <col min="513" max="513" width="6.69921875" style="233" customWidth="1"/>
    <col min="514" max="514" width="60.19921875" style="233" customWidth="1"/>
    <col min="515" max="515" width="16.3984375" style="233" customWidth="1"/>
    <col min="516" max="768" width="8.69921875" style="233"/>
    <col min="769" max="769" width="6.69921875" style="233" customWidth="1"/>
    <col min="770" max="770" width="60.19921875" style="233" customWidth="1"/>
    <col min="771" max="771" width="16.3984375" style="233" customWidth="1"/>
    <col min="772" max="1024" width="8.69921875" style="233"/>
    <col min="1025" max="1025" width="6.69921875" style="233" customWidth="1"/>
    <col min="1026" max="1026" width="60.19921875" style="233" customWidth="1"/>
    <col min="1027" max="1027" width="16.3984375" style="233" customWidth="1"/>
    <col min="1028" max="1280" width="8.69921875" style="233"/>
    <col min="1281" max="1281" width="6.69921875" style="233" customWidth="1"/>
    <col min="1282" max="1282" width="60.19921875" style="233" customWidth="1"/>
    <col min="1283" max="1283" width="16.3984375" style="233" customWidth="1"/>
    <col min="1284" max="1536" width="8.69921875" style="233"/>
    <col min="1537" max="1537" width="6.69921875" style="233" customWidth="1"/>
    <col min="1538" max="1538" width="60.19921875" style="233" customWidth="1"/>
    <col min="1539" max="1539" width="16.3984375" style="233" customWidth="1"/>
    <col min="1540" max="1792" width="8.69921875" style="233"/>
    <col min="1793" max="1793" width="6.69921875" style="233" customWidth="1"/>
    <col min="1794" max="1794" width="60.19921875" style="233" customWidth="1"/>
    <col min="1795" max="1795" width="16.3984375" style="233" customWidth="1"/>
    <col min="1796" max="2048" width="8.69921875" style="233"/>
    <col min="2049" max="2049" width="6.69921875" style="233" customWidth="1"/>
    <col min="2050" max="2050" width="60.19921875" style="233" customWidth="1"/>
    <col min="2051" max="2051" width="16.3984375" style="233" customWidth="1"/>
    <col min="2052" max="2304" width="8.69921875" style="233"/>
    <col min="2305" max="2305" width="6.69921875" style="233" customWidth="1"/>
    <col min="2306" max="2306" width="60.19921875" style="233" customWidth="1"/>
    <col min="2307" max="2307" width="16.3984375" style="233" customWidth="1"/>
    <col min="2308" max="2560" width="8.69921875" style="233"/>
    <col min="2561" max="2561" width="6.69921875" style="233" customWidth="1"/>
    <col min="2562" max="2562" width="60.19921875" style="233" customWidth="1"/>
    <col min="2563" max="2563" width="16.3984375" style="233" customWidth="1"/>
    <col min="2564" max="2816" width="8.69921875" style="233"/>
    <col min="2817" max="2817" width="6.69921875" style="233" customWidth="1"/>
    <col min="2818" max="2818" width="60.19921875" style="233" customWidth="1"/>
    <col min="2819" max="2819" width="16.3984375" style="233" customWidth="1"/>
    <col min="2820" max="3072" width="8.69921875" style="233"/>
    <col min="3073" max="3073" width="6.69921875" style="233" customWidth="1"/>
    <col min="3074" max="3074" width="60.19921875" style="233" customWidth="1"/>
    <col min="3075" max="3075" width="16.3984375" style="233" customWidth="1"/>
    <col min="3076" max="3328" width="8.69921875" style="233"/>
    <col min="3329" max="3329" width="6.69921875" style="233" customWidth="1"/>
    <col min="3330" max="3330" width="60.19921875" style="233" customWidth="1"/>
    <col min="3331" max="3331" width="16.3984375" style="233" customWidth="1"/>
    <col min="3332" max="3584" width="8.69921875" style="233"/>
    <col min="3585" max="3585" width="6.69921875" style="233" customWidth="1"/>
    <col min="3586" max="3586" width="60.19921875" style="233" customWidth="1"/>
    <col min="3587" max="3587" width="16.3984375" style="233" customWidth="1"/>
    <col min="3588" max="3840" width="8.69921875" style="233"/>
    <col min="3841" max="3841" width="6.69921875" style="233" customWidth="1"/>
    <col min="3842" max="3842" width="60.19921875" style="233" customWidth="1"/>
    <col min="3843" max="3843" width="16.3984375" style="233" customWidth="1"/>
    <col min="3844" max="4096" width="8.69921875" style="233"/>
    <col min="4097" max="4097" width="6.69921875" style="233" customWidth="1"/>
    <col min="4098" max="4098" width="60.19921875" style="233" customWidth="1"/>
    <col min="4099" max="4099" width="16.3984375" style="233" customWidth="1"/>
    <col min="4100" max="4352" width="8.69921875" style="233"/>
    <col min="4353" max="4353" width="6.69921875" style="233" customWidth="1"/>
    <col min="4354" max="4354" width="60.19921875" style="233" customWidth="1"/>
    <col min="4355" max="4355" width="16.3984375" style="233" customWidth="1"/>
    <col min="4356" max="4608" width="8.69921875" style="233"/>
    <col min="4609" max="4609" width="6.69921875" style="233" customWidth="1"/>
    <col min="4610" max="4610" width="60.19921875" style="233" customWidth="1"/>
    <col min="4611" max="4611" width="16.3984375" style="233" customWidth="1"/>
    <col min="4612" max="4864" width="8.69921875" style="233"/>
    <col min="4865" max="4865" width="6.69921875" style="233" customWidth="1"/>
    <col min="4866" max="4866" width="60.19921875" style="233" customWidth="1"/>
    <col min="4867" max="4867" width="16.3984375" style="233" customWidth="1"/>
    <col min="4868" max="5120" width="8.69921875" style="233"/>
    <col min="5121" max="5121" width="6.69921875" style="233" customWidth="1"/>
    <col min="5122" max="5122" width="60.19921875" style="233" customWidth="1"/>
    <col min="5123" max="5123" width="16.3984375" style="233" customWidth="1"/>
    <col min="5124" max="5376" width="8.69921875" style="233"/>
    <col min="5377" max="5377" width="6.69921875" style="233" customWidth="1"/>
    <col min="5378" max="5378" width="60.19921875" style="233" customWidth="1"/>
    <col min="5379" max="5379" width="16.3984375" style="233" customWidth="1"/>
    <col min="5380" max="5632" width="8.69921875" style="233"/>
    <col min="5633" max="5633" width="6.69921875" style="233" customWidth="1"/>
    <col min="5634" max="5634" width="60.19921875" style="233" customWidth="1"/>
    <col min="5635" max="5635" width="16.3984375" style="233" customWidth="1"/>
    <col min="5636" max="5888" width="8.69921875" style="233"/>
    <col min="5889" max="5889" width="6.69921875" style="233" customWidth="1"/>
    <col min="5890" max="5890" width="60.19921875" style="233" customWidth="1"/>
    <col min="5891" max="5891" width="16.3984375" style="233" customWidth="1"/>
    <col min="5892" max="6144" width="8.69921875" style="233"/>
    <col min="6145" max="6145" width="6.69921875" style="233" customWidth="1"/>
    <col min="6146" max="6146" width="60.19921875" style="233" customWidth="1"/>
    <col min="6147" max="6147" width="16.3984375" style="233" customWidth="1"/>
    <col min="6148" max="6400" width="8.69921875" style="233"/>
    <col min="6401" max="6401" width="6.69921875" style="233" customWidth="1"/>
    <col min="6402" max="6402" width="60.19921875" style="233" customWidth="1"/>
    <col min="6403" max="6403" width="16.3984375" style="233" customWidth="1"/>
    <col min="6404" max="6656" width="8.69921875" style="233"/>
    <col min="6657" max="6657" width="6.69921875" style="233" customWidth="1"/>
    <col min="6658" max="6658" width="60.19921875" style="233" customWidth="1"/>
    <col min="6659" max="6659" width="16.3984375" style="233" customWidth="1"/>
    <col min="6660" max="6912" width="8.69921875" style="233"/>
    <col min="6913" max="6913" width="6.69921875" style="233" customWidth="1"/>
    <col min="6914" max="6914" width="60.19921875" style="233" customWidth="1"/>
    <col min="6915" max="6915" width="16.3984375" style="233" customWidth="1"/>
    <col min="6916" max="7168" width="8.69921875" style="233"/>
    <col min="7169" max="7169" width="6.69921875" style="233" customWidth="1"/>
    <col min="7170" max="7170" width="60.19921875" style="233" customWidth="1"/>
    <col min="7171" max="7171" width="16.3984375" style="233" customWidth="1"/>
    <col min="7172" max="7424" width="8.69921875" style="233"/>
    <col min="7425" max="7425" width="6.69921875" style="233" customWidth="1"/>
    <col min="7426" max="7426" width="60.19921875" style="233" customWidth="1"/>
    <col min="7427" max="7427" width="16.3984375" style="233" customWidth="1"/>
    <col min="7428" max="7680" width="8.69921875" style="233"/>
    <col min="7681" max="7681" width="6.69921875" style="233" customWidth="1"/>
    <col min="7682" max="7682" width="60.19921875" style="233" customWidth="1"/>
    <col min="7683" max="7683" width="16.3984375" style="233" customWidth="1"/>
    <col min="7684" max="7936" width="8.69921875" style="233"/>
    <col min="7937" max="7937" width="6.69921875" style="233" customWidth="1"/>
    <col min="7938" max="7938" width="60.19921875" style="233" customWidth="1"/>
    <col min="7939" max="7939" width="16.3984375" style="233" customWidth="1"/>
    <col min="7940" max="8192" width="8.69921875" style="233"/>
    <col min="8193" max="8193" width="6.69921875" style="233" customWidth="1"/>
    <col min="8194" max="8194" width="60.19921875" style="233" customWidth="1"/>
    <col min="8195" max="8195" width="16.3984375" style="233" customWidth="1"/>
    <col min="8196" max="8448" width="8.69921875" style="233"/>
    <col min="8449" max="8449" width="6.69921875" style="233" customWidth="1"/>
    <col min="8450" max="8450" width="60.19921875" style="233" customWidth="1"/>
    <col min="8451" max="8451" width="16.3984375" style="233" customWidth="1"/>
    <col min="8452" max="8704" width="8.69921875" style="233"/>
    <col min="8705" max="8705" width="6.69921875" style="233" customWidth="1"/>
    <col min="8706" max="8706" width="60.19921875" style="233" customWidth="1"/>
    <col min="8707" max="8707" width="16.3984375" style="233" customWidth="1"/>
    <col min="8708" max="8960" width="8.69921875" style="233"/>
    <col min="8961" max="8961" width="6.69921875" style="233" customWidth="1"/>
    <col min="8962" max="8962" width="60.19921875" style="233" customWidth="1"/>
    <col min="8963" max="8963" width="16.3984375" style="233" customWidth="1"/>
    <col min="8964" max="9216" width="8.69921875" style="233"/>
    <col min="9217" max="9217" width="6.69921875" style="233" customWidth="1"/>
    <col min="9218" max="9218" width="60.19921875" style="233" customWidth="1"/>
    <col min="9219" max="9219" width="16.3984375" style="233" customWidth="1"/>
    <col min="9220" max="9472" width="8.69921875" style="233"/>
    <col min="9473" max="9473" width="6.69921875" style="233" customWidth="1"/>
    <col min="9474" max="9474" width="60.19921875" style="233" customWidth="1"/>
    <col min="9475" max="9475" width="16.3984375" style="233" customWidth="1"/>
    <col min="9476" max="9728" width="8.69921875" style="233"/>
    <col min="9729" max="9729" width="6.69921875" style="233" customWidth="1"/>
    <col min="9730" max="9730" width="60.19921875" style="233" customWidth="1"/>
    <col min="9731" max="9731" width="16.3984375" style="233" customWidth="1"/>
    <col min="9732" max="9984" width="8.69921875" style="233"/>
    <col min="9985" max="9985" width="6.69921875" style="233" customWidth="1"/>
    <col min="9986" max="9986" width="60.19921875" style="233" customWidth="1"/>
    <col min="9987" max="9987" width="16.3984375" style="233" customWidth="1"/>
    <col min="9988" max="10240" width="8.69921875" style="233"/>
    <col min="10241" max="10241" width="6.69921875" style="233" customWidth="1"/>
    <col min="10242" max="10242" width="60.19921875" style="233" customWidth="1"/>
    <col min="10243" max="10243" width="16.3984375" style="233" customWidth="1"/>
    <col min="10244" max="10496" width="8.69921875" style="233"/>
    <col min="10497" max="10497" width="6.69921875" style="233" customWidth="1"/>
    <col min="10498" max="10498" width="60.19921875" style="233" customWidth="1"/>
    <col min="10499" max="10499" width="16.3984375" style="233" customWidth="1"/>
    <col min="10500" max="10752" width="8.69921875" style="233"/>
    <col min="10753" max="10753" width="6.69921875" style="233" customWidth="1"/>
    <col min="10754" max="10754" width="60.19921875" style="233" customWidth="1"/>
    <col min="10755" max="10755" width="16.3984375" style="233" customWidth="1"/>
    <col min="10756" max="11008" width="8.69921875" style="233"/>
    <col min="11009" max="11009" width="6.69921875" style="233" customWidth="1"/>
    <col min="11010" max="11010" width="60.19921875" style="233" customWidth="1"/>
    <col min="11011" max="11011" width="16.3984375" style="233" customWidth="1"/>
    <col min="11012" max="11264" width="8.69921875" style="233"/>
    <col min="11265" max="11265" width="6.69921875" style="233" customWidth="1"/>
    <col min="11266" max="11266" width="60.19921875" style="233" customWidth="1"/>
    <col min="11267" max="11267" width="16.3984375" style="233" customWidth="1"/>
    <col min="11268" max="11520" width="8.69921875" style="233"/>
    <col min="11521" max="11521" width="6.69921875" style="233" customWidth="1"/>
    <col min="11522" max="11522" width="60.19921875" style="233" customWidth="1"/>
    <col min="11523" max="11523" width="16.3984375" style="233" customWidth="1"/>
    <col min="11524" max="11776" width="8.69921875" style="233"/>
    <col min="11777" max="11777" width="6.69921875" style="233" customWidth="1"/>
    <col min="11778" max="11778" width="60.19921875" style="233" customWidth="1"/>
    <col min="11779" max="11779" width="16.3984375" style="233" customWidth="1"/>
    <col min="11780" max="12032" width="8.69921875" style="233"/>
    <col min="12033" max="12033" width="6.69921875" style="233" customWidth="1"/>
    <col min="12034" max="12034" width="60.19921875" style="233" customWidth="1"/>
    <col min="12035" max="12035" width="16.3984375" style="233" customWidth="1"/>
    <col min="12036" max="12288" width="8.69921875" style="233"/>
    <col min="12289" max="12289" width="6.69921875" style="233" customWidth="1"/>
    <col min="12290" max="12290" width="60.19921875" style="233" customWidth="1"/>
    <col min="12291" max="12291" width="16.3984375" style="233" customWidth="1"/>
    <col min="12292" max="12544" width="8.69921875" style="233"/>
    <col min="12545" max="12545" width="6.69921875" style="233" customWidth="1"/>
    <col min="12546" max="12546" width="60.19921875" style="233" customWidth="1"/>
    <col min="12547" max="12547" width="16.3984375" style="233" customWidth="1"/>
    <col min="12548" max="12800" width="8.69921875" style="233"/>
    <col min="12801" max="12801" width="6.69921875" style="233" customWidth="1"/>
    <col min="12802" max="12802" width="60.19921875" style="233" customWidth="1"/>
    <col min="12803" max="12803" width="16.3984375" style="233" customWidth="1"/>
    <col min="12804" max="13056" width="8.69921875" style="233"/>
    <col min="13057" max="13057" width="6.69921875" style="233" customWidth="1"/>
    <col min="13058" max="13058" width="60.19921875" style="233" customWidth="1"/>
    <col min="13059" max="13059" width="16.3984375" style="233" customWidth="1"/>
    <col min="13060" max="13312" width="8.69921875" style="233"/>
    <col min="13313" max="13313" width="6.69921875" style="233" customWidth="1"/>
    <col min="13314" max="13314" width="60.19921875" style="233" customWidth="1"/>
    <col min="13315" max="13315" width="16.3984375" style="233" customWidth="1"/>
    <col min="13316" max="13568" width="8.69921875" style="233"/>
    <col min="13569" max="13569" width="6.69921875" style="233" customWidth="1"/>
    <col min="13570" max="13570" width="60.19921875" style="233" customWidth="1"/>
    <col min="13571" max="13571" width="16.3984375" style="233" customWidth="1"/>
    <col min="13572" max="13824" width="8.69921875" style="233"/>
    <col min="13825" max="13825" width="6.69921875" style="233" customWidth="1"/>
    <col min="13826" max="13826" width="60.19921875" style="233" customWidth="1"/>
    <col min="13827" max="13827" width="16.3984375" style="233" customWidth="1"/>
    <col min="13828" max="14080" width="8.69921875" style="233"/>
    <col min="14081" max="14081" width="6.69921875" style="233" customWidth="1"/>
    <col min="14082" max="14082" width="60.19921875" style="233" customWidth="1"/>
    <col min="14083" max="14083" width="16.3984375" style="233" customWidth="1"/>
    <col min="14084" max="14336" width="8.69921875" style="233"/>
    <col min="14337" max="14337" width="6.69921875" style="233" customWidth="1"/>
    <col min="14338" max="14338" width="60.19921875" style="233" customWidth="1"/>
    <col min="14339" max="14339" width="16.3984375" style="233" customWidth="1"/>
    <col min="14340" max="14592" width="8.69921875" style="233"/>
    <col min="14593" max="14593" width="6.69921875" style="233" customWidth="1"/>
    <col min="14594" max="14594" width="60.19921875" style="233" customWidth="1"/>
    <col min="14595" max="14595" width="16.3984375" style="233" customWidth="1"/>
    <col min="14596" max="14848" width="8.69921875" style="233"/>
    <col min="14849" max="14849" width="6.69921875" style="233" customWidth="1"/>
    <col min="14850" max="14850" width="60.19921875" style="233" customWidth="1"/>
    <col min="14851" max="14851" width="16.3984375" style="233" customWidth="1"/>
    <col min="14852" max="15104" width="8.69921875" style="233"/>
    <col min="15105" max="15105" width="6.69921875" style="233" customWidth="1"/>
    <col min="15106" max="15106" width="60.19921875" style="233" customWidth="1"/>
    <col min="15107" max="15107" width="16.3984375" style="233" customWidth="1"/>
    <col min="15108" max="15360" width="8.69921875" style="233"/>
    <col min="15361" max="15361" width="6.69921875" style="233" customWidth="1"/>
    <col min="15362" max="15362" width="60.19921875" style="233" customWidth="1"/>
    <col min="15363" max="15363" width="16.3984375" style="233" customWidth="1"/>
    <col min="15364" max="15616" width="8.69921875" style="233"/>
    <col min="15617" max="15617" width="6.69921875" style="233" customWidth="1"/>
    <col min="15618" max="15618" width="60.19921875" style="233" customWidth="1"/>
    <col min="15619" max="15619" width="16.3984375" style="233" customWidth="1"/>
    <col min="15620" max="15872" width="8.69921875" style="233"/>
    <col min="15873" max="15873" width="6.69921875" style="233" customWidth="1"/>
    <col min="15874" max="15874" width="60.19921875" style="233" customWidth="1"/>
    <col min="15875" max="15875" width="16.3984375" style="233" customWidth="1"/>
    <col min="15876" max="16128" width="8.69921875" style="233"/>
    <col min="16129" max="16129" width="6.69921875" style="233" customWidth="1"/>
    <col min="16130" max="16130" width="60.19921875" style="233" customWidth="1"/>
    <col min="16131" max="16131" width="16.3984375" style="233" customWidth="1"/>
    <col min="16132" max="16384" width="8.69921875" style="233"/>
  </cols>
  <sheetData>
    <row r="1" spans="1:5" s="361" customFormat="1" ht="33.75" customHeight="1" x14ac:dyDescent="0.3">
      <c r="A1" s="359"/>
      <c r="B1" s="358"/>
      <c r="C1" s="360" t="s">
        <v>205</v>
      </c>
    </row>
    <row r="2" spans="1:5" x14ac:dyDescent="0.35">
      <c r="A2" s="469" t="s">
        <v>422</v>
      </c>
      <c r="B2" s="469"/>
      <c r="C2" s="469"/>
    </row>
    <row r="3" spans="1:5" x14ac:dyDescent="0.35">
      <c r="A3" s="470" t="s">
        <v>599</v>
      </c>
      <c r="B3" s="470"/>
      <c r="C3" s="470"/>
    </row>
    <row r="4" spans="1:5" x14ac:dyDescent="0.35">
      <c r="B4" s="471" t="s">
        <v>0</v>
      </c>
      <c r="C4" s="471"/>
    </row>
    <row r="5" spans="1:5" s="232" customFormat="1" ht="17.399999999999999" x14ac:dyDescent="0.3">
      <c r="A5" s="325" t="s">
        <v>1</v>
      </c>
      <c r="B5" s="325" t="s">
        <v>2</v>
      </c>
      <c r="C5" s="326" t="s">
        <v>114</v>
      </c>
    </row>
    <row r="6" spans="1:5" s="232" customFormat="1" ht="17.399999999999999" x14ac:dyDescent="0.3">
      <c r="A6" s="325" t="s">
        <v>51</v>
      </c>
      <c r="B6" s="340" t="s">
        <v>367</v>
      </c>
      <c r="C6" s="326">
        <v>2307800</v>
      </c>
      <c r="D6" s="232" t="s">
        <v>375</v>
      </c>
    </row>
    <row r="7" spans="1:5" s="232" customFormat="1" ht="17.399999999999999" x14ac:dyDescent="0.3">
      <c r="A7" s="325" t="s">
        <v>97</v>
      </c>
      <c r="B7" s="340" t="s">
        <v>361</v>
      </c>
      <c r="C7" s="326">
        <v>1822277</v>
      </c>
      <c r="D7" s="232" t="s">
        <v>376</v>
      </c>
    </row>
    <row r="8" spans="1:5" x14ac:dyDescent="0.35">
      <c r="A8" s="341" t="s">
        <v>368</v>
      </c>
      <c r="B8" s="342" t="s">
        <v>369</v>
      </c>
      <c r="C8" s="343">
        <v>1569300</v>
      </c>
    </row>
    <row r="9" spans="1:5" x14ac:dyDescent="0.35">
      <c r="A9" s="341" t="s">
        <v>370</v>
      </c>
      <c r="B9" s="342" t="s">
        <v>363</v>
      </c>
      <c r="C9" s="343">
        <v>194450</v>
      </c>
      <c r="E9" s="245">
        <f>+C8+C9+C12</f>
        <v>1822277</v>
      </c>
    </row>
    <row r="10" spans="1:5" x14ac:dyDescent="0.35">
      <c r="A10" s="341"/>
      <c r="B10" s="331" t="s">
        <v>338</v>
      </c>
      <c r="C10" s="343">
        <v>61215</v>
      </c>
      <c r="E10" s="245">
        <f>+E9-C13</f>
        <v>0.59339774749241769</v>
      </c>
    </row>
    <row r="11" spans="1:5" x14ac:dyDescent="0.35">
      <c r="A11" s="341"/>
      <c r="B11" s="331" t="s">
        <v>339</v>
      </c>
      <c r="C11" s="343">
        <v>133235</v>
      </c>
    </row>
    <row r="12" spans="1:5" ht="36" x14ac:dyDescent="0.35">
      <c r="A12" s="341" t="s">
        <v>377</v>
      </c>
      <c r="B12" s="322" t="s">
        <v>421</v>
      </c>
      <c r="C12" s="343">
        <v>58527</v>
      </c>
    </row>
    <row r="13" spans="1:5" s="232" customFormat="1" ht="17.399999999999999" x14ac:dyDescent="0.3">
      <c r="A13" s="325" t="s">
        <v>371</v>
      </c>
      <c r="B13" s="344" t="s">
        <v>372</v>
      </c>
      <c r="C13" s="326">
        <v>1822276.4066022525</v>
      </c>
      <c r="D13" s="232" t="s">
        <v>376</v>
      </c>
    </row>
    <row r="14" spans="1:5" x14ac:dyDescent="0.35">
      <c r="A14" s="341" t="s">
        <v>368</v>
      </c>
      <c r="B14" s="331" t="s">
        <v>373</v>
      </c>
      <c r="C14" s="343">
        <v>1080000</v>
      </c>
    </row>
    <row r="15" spans="1:5" x14ac:dyDescent="0.35">
      <c r="A15" s="341" t="s">
        <v>370</v>
      </c>
      <c r="B15" s="331" t="s">
        <v>55</v>
      </c>
      <c r="C15" s="343">
        <v>706174.72505148465</v>
      </c>
    </row>
    <row r="16" spans="1:5" x14ac:dyDescent="0.35">
      <c r="A16" s="341" t="s">
        <v>377</v>
      </c>
      <c r="B16" s="331" t="s">
        <v>374</v>
      </c>
      <c r="C16" s="343">
        <v>36101.681550767964</v>
      </c>
    </row>
    <row r="17" spans="1:3" s="236" customFormat="1" ht="17.399999999999999" hidden="1" x14ac:dyDescent="0.3">
      <c r="A17" s="345" t="s">
        <v>51</v>
      </c>
      <c r="B17" s="346" t="s">
        <v>332</v>
      </c>
      <c r="C17" s="347"/>
    </row>
    <row r="18" spans="1:3" s="236" customFormat="1" ht="17.399999999999999" hidden="1" x14ac:dyDescent="0.3">
      <c r="A18" s="263" t="s">
        <v>13</v>
      </c>
      <c r="B18" s="348" t="s">
        <v>333</v>
      </c>
      <c r="C18" s="349">
        <f>+C19+C22</f>
        <v>1185782</v>
      </c>
    </row>
    <row r="19" spans="1:3" hidden="1" x14ac:dyDescent="0.35">
      <c r="A19" s="273">
        <v>1</v>
      </c>
      <c r="B19" s="350" t="s">
        <v>334</v>
      </c>
      <c r="C19" s="351">
        <f>+'[1]Tổng thu (2)'!AH11</f>
        <v>1128239</v>
      </c>
    </row>
    <row r="20" spans="1:3" hidden="1" x14ac:dyDescent="0.35">
      <c r="A20" s="273"/>
      <c r="B20" s="350" t="s">
        <v>335</v>
      </c>
      <c r="C20" s="351">
        <v>9939</v>
      </c>
    </row>
    <row r="21" spans="1:3" ht="36" hidden="1" x14ac:dyDescent="0.35">
      <c r="A21" s="273"/>
      <c r="B21" s="352" t="s">
        <v>336</v>
      </c>
      <c r="C21" s="351">
        <v>1607105</v>
      </c>
    </row>
    <row r="22" spans="1:3" hidden="1" x14ac:dyDescent="0.35">
      <c r="A22" s="273">
        <v>2</v>
      </c>
      <c r="B22" s="350" t="s">
        <v>337</v>
      </c>
      <c r="C22" s="351">
        <f>+C23+C24</f>
        <v>57543</v>
      </c>
    </row>
    <row r="23" spans="1:3" hidden="1" x14ac:dyDescent="0.35">
      <c r="A23" s="273"/>
      <c r="B23" s="350" t="s">
        <v>338</v>
      </c>
      <c r="C23" s="351">
        <f>+'[1]Tổng thu (2)'!AH39</f>
        <v>26730</v>
      </c>
    </row>
    <row r="24" spans="1:3" hidden="1" x14ac:dyDescent="0.35">
      <c r="A24" s="273"/>
      <c r="B24" s="350" t="s">
        <v>339</v>
      </c>
      <c r="C24" s="351">
        <f>+'[1]Tổng thu (2)'!AH40</f>
        <v>30813</v>
      </c>
    </row>
    <row r="25" spans="1:3" s="236" customFormat="1" ht="17.399999999999999" hidden="1" x14ac:dyDescent="0.3">
      <c r="A25" s="263" t="s">
        <v>39</v>
      </c>
      <c r="B25" s="348" t="s">
        <v>340</v>
      </c>
      <c r="C25" s="349">
        <f>+C26+C27</f>
        <v>1185781.8</v>
      </c>
    </row>
    <row r="26" spans="1:3" ht="36" hidden="1" x14ac:dyDescent="0.35">
      <c r="A26" s="273">
        <v>1</v>
      </c>
      <c r="B26" s="352" t="s">
        <v>341</v>
      </c>
      <c r="C26" s="351">
        <f>+'[1]Tổng chi'!AB8</f>
        <v>1154968.8</v>
      </c>
    </row>
    <row r="27" spans="1:3" hidden="1" x14ac:dyDescent="0.35">
      <c r="A27" s="273">
        <v>2</v>
      </c>
      <c r="B27" s="350" t="s">
        <v>342</v>
      </c>
      <c r="C27" s="351">
        <f>+'[1]Tổng chi'!AB54</f>
        <v>30813</v>
      </c>
    </row>
    <row r="28" spans="1:3" hidden="1" x14ac:dyDescent="0.35">
      <c r="A28" s="273"/>
      <c r="B28" s="350" t="s">
        <v>338</v>
      </c>
      <c r="C28" s="351"/>
    </row>
    <row r="29" spans="1:3" hidden="1" x14ac:dyDescent="0.35">
      <c r="A29" s="273"/>
      <c r="B29" s="350" t="s">
        <v>339</v>
      </c>
      <c r="C29" s="351"/>
    </row>
    <row r="30" spans="1:3" s="236" customFormat="1" ht="17.399999999999999" hidden="1" x14ac:dyDescent="0.3">
      <c r="A30" s="263" t="s">
        <v>97</v>
      </c>
      <c r="B30" s="348" t="s">
        <v>343</v>
      </c>
      <c r="C30" s="349"/>
    </row>
    <row r="31" spans="1:3" s="236" customFormat="1" ht="17.399999999999999" hidden="1" x14ac:dyDescent="0.3">
      <c r="A31" s="263" t="s">
        <v>13</v>
      </c>
      <c r="B31" s="348" t="s">
        <v>344</v>
      </c>
      <c r="C31" s="349">
        <f>+C32+C35</f>
        <v>201024</v>
      </c>
    </row>
    <row r="32" spans="1:3" hidden="1" x14ac:dyDescent="0.35">
      <c r="A32" s="273">
        <v>1</v>
      </c>
      <c r="B32" s="350" t="s">
        <v>345</v>
      </c>
      <c r="C32" s="351">
        <f>+'[1]Tổng thu (2)'!AI11</f>
        <v>159451</v>
      </c>
    </row>
    <row r="33" spans="1:3" hidden="1" x14ac:dyDescent="0.35">
      <c r="A33" s="273"/>
      <c r="B33" s="350" t="s">
        <v>346</v>
      </c>
      <c r="C33" s="351">
        <v>7780</v>
      </c>
    </row>
    <row r="34" spans="1:3" hidden="1" x14ac:dyDescent="0.35">
      <c r="A34" s="273"/>
      <c r="B34" s="350" t="s">
        <v>347</v>
      </c>
      <c r="C34" s="351">
        <v>243536</v>
      </c>
    </row>
    <row r="35" spans="1:3" hidden="1" x14ac:dyDescent="0.35">
      <c r="A35" s="273">
        <v>2</v>
      </c>
      <c r="B35" s="350" t="s">
        <v>348</v>
      </c>
      <c r="C35" s="351">
        <f>+C36+C37</f>
        <v>41573</v>
      </c>
    </row>
    <row r="36" spans="1:3" hidden="1" x14ac:dyDescent="0.35">
      <c r="A36" s="273"/>
      <c r="B36" s="350" t="s">
        <v>338</v>
      </c>
      <c r="C36" s="351">
        <f>+'[1]Tổng thu (2)'!AI39</f>
        <v>34485</v>
      </c>
    </row>
    <row r="37" spans="1:3" hidden="1" x14ac:dyDescent="0.35">
      <c r="A37" s="273"/>
      <c r="B37" s="350" t="s">
        <v>339</v>
      </c>
      <c r="C37" s="351">
        <f>+'[1]Tổng thu (2)'!AI40</f>
        <v>7088</v>
      </c>
    </row>
    <row r="38" spans="1:3" s="232" customFormat="1" ht="17.399999999999999" hidden="1" x14ac:dyDescent="0.3">
      <c r="A38" s="263" t="s">
        <v>39</v>
      </c>
      <c r="B38" s="348" t="s">
        <v>349</v>
      </c>
      <c r="C38" s="353">
        <f>+C39+C40</f>
        <v>201024.2</v>
      </c>
    </row>
    <row r="39" spans="1:3" s="236" customFormat="1" ht="36" hidden="1" x14ac:dyDescent="0.35">
      <c r="A39" s="273">
        <v>1</v>
      </c>
      <c r="B39" s="352" t="s">
        <v>341</v>
      </c>
      <c r="C39" s="354">
        <f>+'[1]Tổng chi'!AC8</f>
        <v>193936.2</v>
      </c>
    </row>
    <row r="40" spans="1:3" hidden="1" x14ac:dyDescent="0.35">
      <c r="A40" s="355">
        <v>2</v>
      </c>
      <c r="B40" s="356" t="s">
        <v>342</v>
      </c>
      <c r="C40" s="357">
        <f>+'[1]Tổng chi'!AC54</f>
        <v>7088</v>
      </c>
    </row>
  </sheetData>
  <mergeCells count="3">
    <mergeCell ref="A2:C2"/>
    <mergeCell ref="A3:C3"/>
    <mergeCell ref="B4:C4"/>
  </mergeCells>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7"/>
  <sheetViews>
    <sheetView view="pageBreakPreview" zoomScale="85" zoomScaleNormal="100" zoomScaleSheetLayoutView="85" workbookViewId="0">
      <selection activeCell="I17" sqref="I17"/>
    </sheetView>
  </sheetViews>
  <sheetFormatPr defaultColWidth="12" defaultRowHeight="15.6" x14ac:dyDescent="0.3"/>
  <cols>
    <col min="1" max="1" width="4.19921875" style="97" customWidth="1"/>
    <col min="2" max="2" width="16.09765625" style="107" customWidth="1"/>
    <col min="3" max="3" width="14.8984375" style="97" customWidth="1"/>
    <col min="4" max="4" width="12.59765625" style="97" customWidth="1"/>
    <col min="5" max="5" width="13.5" style="97" customWidth="1"/>
    <col min="6" max="6" width="10.09765625" style="97" customWidth="1"/>
    <col min="7" max="7" width="8.8984375" style="97" customWidth="1"/>
    <col min="8" max="8" width="9.3984375" style="97" customWidth="1"/>
    <col min="9" max="9" width="8.69921875" style="97" customWidth="1"/>
    <col min="10" max="10" width="7.69921875" style="97" customWidth="1"/>
    <col min="11" max="11" width="9.5" style="97" customWidth="1"/>
    <col min="12" max="12" width="5.09765625" style="97" customWidth="1"/>
    <col min="13" max="13" width="5.19921875" style="97" customWidth="1"/>
    <col min="14" max="14" width="8.19921875" style="97" customWidth="1"/>
    <col min="15" max="15" width="5.19921875" style="97" customWidth="1"/>
    <col min="16" max="16" width="8.09765625" style="97" customWidth="1"/>
    <col min="17" max="20" width="8.59765625" style="97" customWidth="1"/>
    <col min="21" max="22" width="9.09765625" style="97" customWidth="1"/>
    <col min="23" max="23" width="8" style="97" customWidth="1"/>
    <col min="24" max="24" width="7.19921875" style="97" customWidth="1"/>
    <col min="25" max="25" width="8.19921875" style="97" customWidth="1"/>
    <col min="26" max="26" width="8.09765625" style="97" customWidth="1"/>
    <col min="27" max="28" width="5.19921875" style="97" customWidth="1"/>
    <col min="29" max="29" width="7.69921875" style="97" customWidth="1"/>
    <col min="30" max="30" width="11.19921875" style="97" customWidth="1"/>
    <col min="31" max="33" width="9.69921875" style="97" customWidth="1"/>
    <col min="34" max="36" width="8.59765625" style="97" customWidth="1"/>
    <col min="37" max="37" width="10.8984375" style="97" customWidth="1"/>
    <col min="38" max="39" width="8.59765625" style="97" customWidth="1"/>
    <col min="40" max="40" width="10.59765625" style="97" customWidth="1"/>
    <col min="41" max="251" width="8.59765625" style="97" customWidth="1"/>
    <col min="252" max="252" width="7.8984375" style="97" customWidth="1"/>
    <col min="253" max="253" width="23.59765625" style="97" customWidth="1"/>
    <col min="254" max="255" width="14.3984375" style="97" customWidth="1"/>
    <col min="256" max="256" width="12" style="97"/>
    <col min="257" max="257" width="4.19921875" style="97" customWidth="1"/>
    <col min="258" max="258" width="16.09765625" style="97" customWidth="1"/>
    <col min="259" max="259" width="10.09765625" style="97" customWidth="1"/>
    <col min="260" max="260" width="8.09765625" style="97" customWidth="1"/>
    <col min="261" max="261" width="7.69921875" style="97" customWidth="1"/>
    <col min="262" max="262" width="8.09765625" style="97" customWidth="1"/>
    <col min="263" max="263" width="7.3984375" style="97" customWidth="1"/>
    <col min="264" max="265" width="7.59765625" style="97" customWidth="1"/>
    <col min="266" max="266" width="6.59765625" style="97" customWidth="1"/>
    <col min="267" max="267" width="7.59765625" style="97" customWidth="1"/>
    <col min="268" max="268" width="5.09765625" style="97" customWidth="1"/>
    <col min="269" max="269" width="5.19921875" style="97" customWidth="1"/>
    <col min="270" max="270" width="6.59765625" style="97" customWidth="1"/>
    <col min="271" max="271" width="5.19921875" style="97" customWidth="1"/>
    <col min="272" max="272" width="6.59765625" style="97" customWidth="1"/>
    <col min="273" max="278" width="7.59765625" style="97" customWidth="1"/>
    <col min="279" max="279" width="6.5" style="97" customWidth="1"/>
    <col min="280" max="280" width="7.19921875" style="97" customWidth="1"/>
    <col min="281" max="281" width="8.19921875" style="97" customWidth="1"/>
    <col min="282" max="282" width="8.09765625" style="97" customWidth="1"/>
    <col min="283" max="284" width="5.19921875" style="97" customWidth="1"/>
    <col min="285" max="285" width="7.69921875" style="97" customWidth="1"/>
    <col min="286" max="289" width="9.69921875" style="97" customWidth="1"/>
    <col min="290" max="292" width="8.59765625" style="97" customWidth="1"/>
    <col min="293" max="293" width="10.8984375" style="97" customWidth="1"/>
    <col min="294" max="295" width="8.59765625" style="97" customWidth="1"/>
    <col min="296" max="296" width="10.59765625" style="97" customWidth="1"/>
    <col min="297" max="507" width="8.59765625" style="97" customWidth="1"/>
    <col min="508" max="508" width="7.8984375" style="97" customWidth="1"/>
    <col min="509" max="509" width="23.59765625" style="97" customWidth="1"/>
    <col min="510" max="511" width="14.3984375" style="97" customWidth="1"/>
    <col min="512" max="512" width="12" style="97"/>
    <col min="513" max="513" width="4.19921875" style="97" customWidth="1"/>
    <col min="514" max="514" width="16.09765625" style="97" customWidth="1"/>
    <col min="515" max="515" width="10.09765625" style="97" customWidth="1"/>
    <col min="516" max="516" width="8.09765625" style="97" customWidth="1"/>
    <col min="517" max="517" width="7.69921875" style="97" customWidth="1"/>
    <col min="518" max="518" width="8.09765625" style="97" customWidth="1"/>
    <col min="519" max="519" width="7.3984375" style="97" customWidth="1"/>
    <col min="520" max="521" width="7.59765625" style="97" customWidth="1"/>
    <col min="522" max="522" width="6.59765625" style="97" customWidth="1"/>
    <col min="523" max="523" width="7.59765625" style="97" customWidth="1"/>
    <col min="524" max="524" width="5.09765625" style="97" customWidth="1"/>
    <col min="525" max="525" width="5.19921875" style="97" customWidth="1"/>
    <col min="526" max="526" width="6.59765625" style="97" customWidth="1"/>
    <col min="527" max="527" width="5.19921875" style="97" customWidth="1"/>
    <col min="528" max="528" width="6.59765625" style="97" customWidth="1"/>
    <col min="529" max="534" width="7.59765625" style="97" customWidth="1"/>
    <col min="535" max="535" width="6.5" style="97" customWidth="1"/>
    <col min="536" max="536" width="7.19921875" style="97" customWidth="1"/>
    <col min="537" max="537" width="8.19921875" style="97" customWidth="1"/>
    <col min="538" max="538" width="8.09765625" style="97" customWidth="1"/>
    <col min="539" max="540" width="5.19921875" style="97" customWidth="1"/>
    <col min="541" max="541" width="7.69921875" style="97" customWidth="1"/>
    <col min="542" max="545" width="9.69921875" style="97" customWidth="1"/>
    <col min="546" max="548" width="8.59765625" style="97" customWidth="1"/>
    <col min="549" max="549" width="10.8984375" style="97" customWidth="1"/>
    <col min="550" max="551" width="8.59765625" style="97" customWidth="1"/>
    <col min="552" max="552" width="10.59765625" style="97" customWidth="1"/>
    <col min="553" max="763" width="8.59765625" style="97" customWidth="1"/>
    <col min="764" max="764" width="7.8984375" style="97" customWidth="1"/>
    <col min="765" max="765" width="23.59765625" style="97" customWidth="1"/>
    <col min="766" max="767" width="14.3984375" style="97" customWidth="1"/>
    <col min="768" max="768" width="12" style="97"/>
    <col min="769" max="769" width="4.19921875" style="97" customWidth="1"/>
    <col min="770" max="770" width="16.09765625" style="97" customWidth="1"/>
    <col min="771" max="771" width="10.09765625" style="97" customWidth="1"/>
    <col min="772" max="772" width="8.09765625" style="97" customWidth="1"/>
    <col min="773" max="773" width="7.69921875" style="97" customWidth="1"/>
    <col min="774" max="774" width="8.09765625" style="97" customWidth="1"/>
    <col min="775" max="775" width="7.3984375" style="97" customWidth="1"/>
    <col min="776" max="777" width="7.59765625" style="97" customWidth="1"/>
    <col min="778" max="778" width="6.59765625" style="97" customWidth="1"/>
    <col min="779" max="779" width="7.59765625" style="97" customWidth="1"/>
    <col min="780" max="780" width="5.09765625" style="97" customWidth="1"/>
    <col min="781" max="781" width="5.19921875" style="97" customWidth="1"/>
    <col min="782" max="782" width="6.59765625" style="97" customWidth="1"/>
    <col min="783" max="783" width="5.19921875" style="97" customWidth="1"/>
    <col min="784" max="784" width="6.59765625" style="97" customWidth="1"/>
    <col min="785" max="790" width="7.59765625" style="97" customWidth="1"/>
    <col min="791" max="791" width="6.5" style="97" customWidth="1"/>
    <col min="792" max="792" width="7.19921875" style="97" customWidth="1"/>
    <col min="793" max="793" width="8.19921875" style="97" customWidth="1"/>
    <col min="794" max="794" width="8.09765625" style="97" customWidth="1"/>
    <col min="795" max="796" width="5.19921875" style="97" customWidth="1"/>
    <col min="797" max="797" width="7.69921875" style="97" customWidth="1"/>
    <col min="798" max="801" width="9.69921875" style="97" customWidth="1"/>
    <col min="802" max="804" width="8.59765625" style="97" customWidth="1"/>
    <col min="805" max="805" width="10.8984375" style="97" customWidth="1"/>
    <col min="806" max="807" width="8.59765625" style="97" customWidth="1"/>
    <col min="808" max="808" width="10.59765625" style="97" customWidth="1"/>
    <col min="809" max="1019" width="8.59765625" style="97" customWidth="1"/>
    <col min="1020" max="1020" width="7.8984375" style="97" customWidth="1"/>
    <col min="1021" max="1021" width="23.59765625" style="97" customWidth="1"/>
    <col min="1022" max="1023" width="14.3984375" style="97" customWidth="1"/>
    <col min="1024" max="1024" width="12" style="97"/>
    <col min="1025" max="1025" width="4.19921875" style="97" customWidth="1"/>
    <col min="1026" max="1026" width="16.09765625" style="97" customWidth="1"/>
    <col min="1027" max="1027" width="10.09765625" style="97" customWidth="1"/>
    <col min="1028" max="1028" width="8.09765625" style="97" customWidth="1"/>
    <col min="1029" max="1029" width="7.69921875" style="97" customWidth="1"/>
    <col min="1030" max="1030" width="8.09765625" style="97" customWidth="1"/>
    <col min="1031" max="1031" width="7.3984375" style="97" customWidth="1"/>
    <col min="1032" max="1033" width="7.59765625" style="97" customWidth="1"/>
    <col min="1034" max="1034" width="6.59765625" style="97" customWidth="1"/>
    <col min="1035" max="1035" width="7.59765625" style="97" customWidth="1"/>
    <col min="1036" max="1036" width="5.09765625" style="97" customWidth="1"/>
    <col min="1037" max="1037" width="5.19921875" style="97" customWidth="1"/>
    <col min="1038" max="1038" width="6.59765625" style="97" customWidth="1"/>
    <col min="1039" max="1039" width="5.19921875" style="97" customWidth="1"/>
    <col min="1040" max="1040" width="6.59765625" style="97" customWidth="1"/>
    <col min="1041" max="1046" width="7.59765625" style="97" customWidth="1"/>
    <col min="1047" max="1047" width="6.5" style="97" customWidth="1"/>
    <col min="1048" max="1048" width="7.19921875" style="97" customWidth="1"/>
    <col min="1049" max="1049" width="8.19921875" style="97" customWidth="1"/>
    <col min="1050" max="1050" width="8.09765625" style="97" customWidth="1"/>
    <col min="1051" max="1052" width="5.19921875" style="97" customWidth="1"/>
    <col min="1053" max="1053" width="7.69921875" style="97" customWidth="1"/>
    <col min="1054" max="1057" width="9.69921875" style="97" customWidth="1"/>
    <col min="1058" max="1060" width="8.59765625" style="97" customWidth="1"/>
    <col min="1061" max="1061" width="10.8984375" style="97" customWidth="1"/>
    <col min="1062" max="1063" width="8.59765625" style="97" customWidth="1"/>
    <col min="1064" max="1064" width="10.59765625" style="97" customWidth="1"/>
    <col min="1065" max="1275" width="8.59765625" style="97" customWidth="1"/>
    <col min="1276" max="1276" width="7.8984375" style="97" customWidth="1"/>
    <col min="1277" max="1277" width="23.59765625" style="97" customWidth="1"/>
    <col min="1278" max="1279" width="14.3984375" style="97" customWidth="1"/>
    <col min="1280" max="1280" width="12" style="97"/>
    <col min="1281" max="1281" width="4.19921875" style="97" customWidth="1"/>
    <col min="1282" max="1282" width="16.09765625" style="97" customWidth="1"/>
    <col min="1283" max="1283" width="10.09765625" style="97" customWidth="1"/>
    <col min="1284" max="1284" width="8.09765625" style="97" customWidth="1"/>
    <col min="1285" max="1285" width="7.69921875" style="97" customWidth="1"/>
    <col min="1286" max="1286" width="8.09765625" style="97" customWidth="1"/>
    <col min="1287" max="1287" width="7.3984375" style="97" customWidth="1"/>
    <col min="1288" max="1289" width="7.59765625" style="97" customWidth="1"/>
    <col min="1290" max="1290" width="6.59765625" style="97" customWidth="1"/>
    <col min="1291" max="1291" width="7.59765625" style="97" customWidth="1"/>
    <col min="1292" max="1292" width="5.09765625" style="97" customWidth="1"/>
    <col min="1293" max="1293" width="5.19921875" style="97" customWidth="1"/>
    <col min="1294" max="1294" width="6.59765625" style="97" customWidth="1"/>
    <col min="1295" max="1295" width="5.19921875" style="97" customWidth="1"/>
    <col min="1296" max="1296" width="6.59765625" style="97" customWidth="1"/>
    <col min="1297" max="1302" width="7.59765625" style="97" customWidth="1"/>
    <col min="1303" max="1303" width="6.5" style="97" customWidth="1"/>
    <col min="1304" max="1304" width="7.19921875" style="97" customWidth="1"/>
    <col min="1305" max="1305" width="8.19921875" style="97" customWidth="1"/>
    <col min="1306" max="1306" width="8.09765625" style="97" customWidth="1"/>
    <col min="1307" max="1308" width="5.19921875" style="97" customWidth="1"/>
    <col min="1309" max="1309" width="7.69921875" style="97" customWidth="1"/>
    <col min="1310" max="1313" width="9.69921875" style="97" customWidth="1"/>
    <col min="1314" max="1316" width="8.59765625" style="97" customWidth="1"/>
    <col min="1317" max="1317" width="10.8984375" style="97" customWidth="1"/>
    <col min="1318" max="1319" width="8.59765625" style="97" customWidth="1"/>
    <col min="1320" max="1320" width="10.59765625" style="97" customWidth="1"/>
    <col min="1321" max="1531" width="8.59765625" style="97" customWidth="1"/>
    <col min="1532" max="1532" width="7.8984375" style="97" customWidth="1"/>
    <col min="1533" max="1533" width="23.59765625" style="97" customWidth="1"/>
    <col min="1534" max="1535" width="14.3984375" style="97" customWidth="1"/>
    <col min="1536" max="1536" width="12" style="97"/>
    <col min="1537" max="1537" width="4.19921875" style="97" customWidth="1"/>
    <col min="1538" max="1538" width="16.09765625" style="97" customWidth="1"/>
    <col min="1539" max="1539" width="10.09765625" style="97" customWidth="1"/>
    <col min="1540" max="1540" width="8.09765625" style="97" customWidth="1"/>
    <col min="1541" max="1541" width="7.69921875" style="97" customWidth="1"/>
    <col min="1542" max="1542" width="8.09765625" style="97" customWidth="1"/>
    <col min="1543" max="1543" width="7.3984375" style="97" customWidth="1"/>
    <col min="1544" max="1545" width="7.59765625" style="97" customWidth="1"/>
    <col min="1546" max="1546" width="6.59765625" style="97" customWidth="1"/>
    <col min="1547" max="1547" width="7.59765625" style="97" customWidth="1"/>
    <col min="1548" max="1548" width="5.09765625" style="97" customWidth="1"/>
    <col min="1549" max="1549" width="5.19921875" style="97" customWidth="1"/>
    <col min="1550" max="1550" width="6.59765625" style="97" customWidth="1"/>
    <col min="1551" max="1551" width="5.19921875" style="97" customWidth="1"/>
    <col min="1552" max="1552" width="6.59765625" style="97" customWidth="1"/>
    <col min="1553" max="1558" width="7.59765625" style="97" customWidth="1"/>
    <col min="1559" max="1559" width="6.5" style="97" customWidth="1"/>
    <col min="1560" max="1560" width="7.19921875" style="97" customWidth="1"/>
    <col min="1561" max="1561" width="8.19921875" style="97" customWidth="1"/>
    <col min="1562" max="1562" width="8.09765625" style="97" customWidth="1"/>
    <col min="1563" max="1564" width="5.19921875" style="97" customWidth="1"/>
    <col min="1565" max="1565" width="7.69921875" style="97" customWidth="1"/>
    <col min="1566" max="1569" width="9.69921875" style="97" customWidth="1"/>
    <col min="1570" max="1572" width="8.59765625" style="97" customWidth="1"/>
    <col min="1573" max="1573" width="10.8984375" style="97" customWidth="1"/>
    <col min="1574" max="1575" width="8.59765625" style="97" customWidth="1"/>
    <col min="1576" max="1576" width="10.59765625" style="97" customWidth="1"/>
    <col min="1577" max="1787" width="8.59765625" style="97" customWidth="1"/>
    <col min="1788" max="1788" width="7.8984375" style="97" customWidth="1"/>
    <col min="1789" max="1789" width="23.59765625" style="97" customWidth="1"/>
    <col min="1790" max="1791" width="14.3984375" style="97" customWidth="1"/>
    <col min="1792" max="1792" width="12" style="97"/>
    <col min="1793" max="1793" width="4.19921875" style="97" customWidth="1"/>
    <col min="1794" max="1794" width="16.09765625" style="97" customWidth="1"/>
    <col min="1795" max="1795" width="10.09765625" style="97" customWidth="1"/>
    <col min="1796" max="1796" width="8.09765625" style="97" customWidth="1"/>
    <col min="1797" max="1797" width="7.69921875" style="97" customWidth="1"/>
    <col min="1798" max="1798" width="8.09765625" style="97" customWidth="1"/>
    <col min="1799" max="1799" width="7.3984375" style="97" customWidth="1"/>
    <col min="1800" max="1801" width="7.59765625" style="97" customWidth="1"/>
    <col min="1802" max="1802" width="6.59765625" style="97" customWidth="1"/>
    <col min="1803" max="1803" width="7.59765625" style="97" customWidth="1"/>
    <col min="1804" max="1804" width="5.09765625" style="97" customWidth="1"/>
    <col min="1805" max="1805" width="5.19921875" style="97" customWidth="1"/>
    <col min="1806" max="1806" width="6.59765625" style="97" customWidth="1"/>
    <col min="1807" max="1807" width="5.19921875" style="97" customWidth="1"/>
    <col min="1808" max="1808" width="6.59765625" style="97" customWidth="1"/>
    <col min="1809" max="1814" width="7.59765625" style="97" customWidth="1"/>
    <col min="1815" max="1815" width="6.5" style="97" customWidth="1"/>
    <col min="1816" max="1816" width="7.19921875" style="97" customWidth="1"/>
    <col min="1817" max="1817" width="8.19921875" style="97" customWidth="1"/>
    <col min="1818" max="1818" width="8.09765625" style="97" customWidth="1"/>
    <col min="1819" max="1820" width="5.19921875" style="97" customWidth="1"/>
    <col min="1821" max="1821" width="7.69921875" style="97" customWidth="1"/>
    <col min="1822" max="1825" width="9.69921875" style="97" customWidth="1"/>
    <col min="1826" max="1828" width="8.59765625" style="97" customWidth="1"/>
    <col min="1829" max="1829" width="10.8984375" style="97" customWidth="1"/>
    <col min="1830" max="1831" width="8.59765625" style="97" customWidth="1"/>
    <col min="1832" max="1832" width="10.59765625" style="97" customWidth="1"/>
    <col min="1833" max="2043" width="8.59765625" style="97" customWidth="1"/>
    <col min="2044" max="2044" width="7.8984375" style="97" customWidth="1"/>
    <col min="2045" max="2045" width="23.59765625" style="97" customWidth="1"/>
    <col min="2046" max="2047" width="14.3984375" style="97" customWidth="1"/>
    <col min="2048" max="2048" width="12" style="97"/>
    <col min="2049" max="2049" width="4.19921875" style="97" customWidth="1"/>
    <col min="2050" max="2050" width="16.09765625" style="97" customWidth="1"/>
    <col min="2051" max="2051" width="10.09765625" style="97" customWidth="1"/>
    <col min="2052" max="2052" width="8.09765625" style="97" customWidth="1"/>
    <col min="2053" max="2053" width="7.69921875" style="97" customWidth="1"/>
    <col min="2054" max="2054" width="8.09765625" style="97" customWidth="1"/>
    <col min="2055" max="2055" width="7.3984375" style="97" customWidth="1"/>
    <col min="2056" max="2057" width="7.59765625" style="97" customWidth="1"/>
    <col min="2058" max="2058" width="6.59765625" style="97" customWidth="1"/>
    <col min="2059" max="2059" width="7.59765625" style="97" customWidth="1"/>
    <col min="2060" max="2060" width="5.09765625" style="97" customWidth="1"/>
    <col min="2061" max="2061" width="5.19921875" style="97" customWidth="1"/>
    <col min="2062" max="2062" width="6.59765625" style="97" customWidth="1"/>
    <col min="2063" max="2063" width="5.19921875" style="97" customWidth="1"/>
    <col min="2064" max="2064" width="6.59765625" style="97" customWidth="1"/>
    <col min="2065" max="2070" width="7.59765625" style="97" customWidth="1"/>
    <col min="2071" max="2071" width="6.5" style="97" customWidth="1"/>
    <col min="2072" max="2072" width="7.19921875" style="97" customWidth="1"/>
    <col min="2073" max="2073" width="8.19921875" style="97" customWidth="1"/>
    <col min="2074" max="2074" width="8.09765625" style="97" customWidth="1"/>
    <col min="2075" max="2076" width="5.19921875" style="97" customWidth="1"/>
    <col min="2077" max="2077" width="7.69921875" style="97" customWidth="1"/>
    <col min="2078" max="2081" width="9.69921875" style="97" customWidth="1"/>
    <col min="2082" max="2084" width="8.59765625" style="97" customWidth="1"/>
    <col min="2085" max="2085" width="10.8984375" style="97" customWidth="1"/>
    <col min="2086" max="2087" width="8.59765625" style="97" customWidth="1"/>
    <col min="2088" max="2088" width="10.59765625" style="97" customWidth="1"/>
    <col min="2089" max="2299" width="8.59765625" style="97" customWidth="1"/>
    <col min="2300" max="2300" width="7.8984375" style="97" customWidth="1"/>
    <col min="2301" max="2301" width="23.59765625" style="97" customWidth="1"/>
    <col min="2302" max="2303" width="14.3984375" style="97" customWidth="1"/>
    <col min="2304" max="2304" width="12" style="97"/>
    <col min="2305" max="2305" width="4.19921875" style="97" customWidth="1"/>
    <col min="2306" max="2306" width="16.09765625" style="97" customWidth="1"/>
    <col min="2307" max="2307" width="10.09765625" style="97" customWidth="1"/>
    <col min="2308" max="2308" width="8.09765625" style="97" customWidth="1"/>
    <col min="2309" max="2309" width="7.69921875" style="97" customWidth="1"/>
    <col min="2310" max="2310" width="8.09765625" style="97" customWidth="1"/>
    <col min="2311" max="2311" width="7.3984375" style="97" customWidth="1"/>
    <col min="2312" max="2313" width="7.59765625" style="97" customWidth="1"/>
    <col min="2314" max="2314" width="6.59765625" style="97" customWidth="1"/>
    <col min="2315" max="2315" width="7.59765625" style="97" customWidth="1"/>
    <col min="2316" max="2316" width="5.09765625" style="97" customWidth="1"/>
    <col min="2317" max="2317" width="5.19921875" style="97" customWidth="1"/>
    <col min="2318" max="2318" width="6.59765625" style="97" customWidth="1"/>
    <col min="2319" max="2319" width="5.19921875" style="97" customWidth="1"/>
    <col min="2320" max="2320" width="6.59765625" style="97" customWidth="1"/>
    <col min="2321" max="2326" width="7.59765625" style="97" customWidth="1"/>
    <col min="2327" max="2327" width="6.5" style="97" customWidth="1"/>
    <col min="2328" max="2328" width="7.19921875" style="97" customWidth="1"/>
    <col min="2329" max="2329" width="8.19921875" style="97" customWidth="1"/>
    <col min="2330" max="2330" width="8.09765625" style="97" customWidth="1"/>
    <col min="2331" max="2332" width="5.19921875" style="97" customWidth="1"/>
    <col min="2333" max="2333" width="7.69921875" style="97" customWidth="1"/>
    <col min="2334" max="2337" width="9.69921875" style="97" customWidth="1"/>
    <col min="2338" max="2340" width="8.59765625" style="97" customWidth="1"/>
    <col min="2341" max="2341" width="10.8984375" style="97" customWidth="1"/>
    <col min="2342" max="2343" width="8.59765625" style="97" customWidth="1"/>
    <col min="2344" max="2344" width="10.59765625" style="97" customWidth="1"/>
    <col min="2345" max="2555" width="8.59765625" style="97" customWidth="1"/>
    <col min="2556" max="2556" width="7.8984375" style="97" customWidth="1"/>
    <col min="2557" max="2557" width="23.59765625" style="97" customWidth="1"/>
    <col min="2558" max="2559" width="14.3984375" style="97" customWidth="1"/>
    <col min="2560" max="2560" width="12" style="97"/>
    <col min="2561" max="2561" width="4.19921875" style="97" customWidth="1"/>
    <col min="2562" max="2562" width="16.09765625" style="97" customWidth="1"/>
    <col min="2563" max="2563" width="10.09765625" style="97" customWidth="1"/>
    <col min="2564" max="2564" width="8.09765625" style="97" customWidth="1"/>
    <col min="2565" max="2565" width="7.69921875" style="97" customWidth="1"/>
    <col min="2566" max="2566" width="8.09765625" style="97" customWidth="1"/>
    <col min="2567" max="2567" width="7.3984375" style="97" customWidth="1"/>
    <col min="2568" max="2569" width="7.59765625" style="97" customWidth="1"/>
    <col min="2570" max="2570" width="6.59765625" style="97" customWidth="1"/>
    <col min="2571" max="2571" width="7.59765625" style="97" customWidth="1"/>
    <col min="2572" max="2572" width="5.09765625" style="97" customWidth="1"/>
    <col min="2573" max="2573" width="5.19921875" style="97" customWidth="1"/>
    <col min="2574" max="2574" width="6.59765625" style="97" customWidth="1"/>
    <col min="2575" max="2575" width="5.19921875" style="97" customWidth="1"/>
    <col min="2576" max="2576" width="6.59765625" style="97" customWidth="1"/>
    <col min="2577" max="2582" width="7.59765625" style="97" customWidth="1"/>
    <col min="2583" max="2583" width="6.5" style="97" customWidth="1"/>
    <col min="2584" max="2584" width="7.19921875" style="97" customWidth="1"/>
    <col min="2585" max="2585" width="8.19921875" style="97" customWidth="1"/>
    <col min="2586" max="2586" width="8.09765625" style="97" customWidth="1"/>
    <col min="2587" max="2588" width="5.19921875" style="97" customWidth="1"/>
    <col min="2589" max="2589" width="7.69921875" style="97" customWidth="1"/>
    <col min="2590" max="2593" width="9.69921875" style="97" customWidth="1"/>
    <col min="2594" max="2596" width="8.59765625" style="97" customWidth="1"/>
    <col min="2597" max="2597" width="10.8984375" style="97" customWidth="1"/>
    <col min="2598" max="2599" width="8.59765625" style="97" customWidth="1"/>
    <col min="2600" max="2600" width="10.59765625" style="97" customWidth="1"/>
    <col min="2601" max="2811" width="8.59765625" style="97" customWidth="1"/>
    <col min="2812" max="2812" width="7.8984375" style="97" customWidth="1"/>
    <col min="2813" max="2813" width="23.59765625" style="97" customWidth="1"/>
    <col min="2814" max="2815" width="14.3984375" style="97" customWidth="1"/>
    <col min="2816" max="2816" width="12" style="97"/>
    <col min="2817" max="2817" width="4.19921875" style="97" customWidth="1"/>
    <col min="2818" max="2818" width="16.09765625" style="97" customWidth="1"/>
    <col min="2819" max="2819" width="10.09765625" style="97" customWidth="1"/>
    <col min="2820" max="2820" width="8.09765625" style="97" customWidth="1"/>
    <col min="2821" max="2821" width="7.69921875" style="97" customWidth="1"/>
    <col min="2822" max="2822" width="8.09765625" style="97" customWidth="1"/>
    <col min="2823" max="2823" width="7.3984375" style="97" customWidth="1"/>
    <col min="2824" max="2825" width="7.59765625" style="97" customWidth="1"/>
    <col min="2826" max="2826" width="6.59765625" style="97" customWidth="1"/>
    <col min="2827" max="2827" width="7.59765625" style="97" customWidth="1"/>
    <col min="2828" max="2828" width="5.09765625" style="97" customWidth="1"/>
    <col min="2829" max="2829" width="5.19921875" style="97" customWidth="1"/>
    <col min="2830" max="2830" width="6.59765625" style="97" customWidth="1"/>
    <col min="2831" max="2831" width="5.19921875" style="97" customWidth="1"/>
    <col min="2832" max="2832" width="6.59765625" style="97" customWidth="1"/>
    <col min="2833" max="2838" width="7.59765625" style="97" customWidth="1"/>
    <col min="2839" max="2839" width="6.5" style="97" customWidth="1"/>
    <col min="2840" max="2840" width="7.19921875" style="97" customWidth="1"/>
    <col min="2841" max="2841" width="8.19921875" style="97" customWidth="1"/>
    <col min="2842" max="2842" width="8.09765625" style="97" customWidth="1"/>
    <col min="2843" max="2844" width="5.19921875" style="97" customWidth="1"/>
    <col min="2845" max="2845" width="7.69921875" style="97" customWidth="1"/>
    <col min="2846" max="2849" width="9.69921875" style="97" customWidth="1"/>
    <col min="2850" max="2852" width="8.59765625" style="97" customWidth="1"/>
    <col min="2853" max="2853" width="10.8984375" style="97" customWidth="1"/>
    <col min="2854" max="2855" width="8.59765625" style="97" customWidth="1"/>
    <col min="2856" max="2856" width="10.59765625" style="97" customWidth="1"/>
    <col min="2857" max="3067" width="8.59765625" style="97" customWidth="1"/>
    <col min="3068" max="3068" width="7.8984375" style="97" customWidth="1"/>
    <col min="3069" max="3069" width="23.59765625" style="97" customWidth="1"/>
    <col min="3070" max="3071" width="14.3984375" style="97" customWidth="1"/>
    <col min="3072" max="3072" width="12" style="97"/>
    <col min="3073" max="3073" width="4.19921875" style="97" customWidth="1"/>
    <col min="3074" max="3074" width="16.09765625" style="97" customWidth="1"/>
    <col min="3075" max="3075" width="10.09765625" style="97" customWidth="1"/>
    <col min="3076" max="3076" width="8.09765625" style="97" customWidth="1"/>
    <col min="3077" max="3077" width="7.69921875" style="97" customWidth="1"/>
    <col min="3078" max="3078" width="8.09765625" style="97" customWidth="1"/>
    <col min="3079" max="3079" width="7.3984375" style="97" customWidth="1"/>
    <col min="3080" max="3081" width="7.59765625" style="97" customWidth="1"/>
    <col min="3082" max="3082" width="6.59765625" style="97" customWidth="1"/>
    <col min="3083" max="3083" width="7.59765625" style="97" customWidth="1"/>
    <col min="3084" max="3084" width="5.09765625" style="97" customWidth="1"/>
    <col min="3085" max="3085" width="5.19921875" style="97" customWidth="1"/>
    <col min="3086" max="3086" width="6.59765625" style="97" customWidth="1"/>
    <col min="3087" max="3087" width="5.19921875" style="97" customWidth="1"/>
    <col min="3088" max="3088" width="6.59765625" style="97" customWidth="1"/>
    <col min="3089" max="3094" width="7.59765625" style="97" customWidth="1"/>
    <col min="3095" max="3095" width="6.5" style="97" customWidth="1"/>
    <col min="3096" max="3096" width="7.19921875" style="97" customWidth="1"/>
    <col min="3097" max="3097" width="8.19921875" style="97" customWidth="1"/>
    <col min="3098" max="3098" width="8.09765625" style="97" customWidth="1"/>
    <col min="3099" max="3100" width="5.19921875" style="97" customWidth="1"/>
    <col min="3101" max="3101" width="7.69921875" style="97" customWidth="1"/>
    <col min="3102" max="3105" width="9.69921875" style="97" customWidth="1"/>
    <col min="3106" max="3108" width="8.59765625" style="97" customWidth="1"/>
    <col min="3109" max="3109" width="10.8984375" style="97" customWidth="1"/>
    <col min="3110" max="3111" width="8.59765625" style="97" customWidth="1"/>
    <col min="3112" max="3112" width="10.59765625" style="97" customWidth="1"/>
    <col min="3113" max="3323" width="8.59765625" style="97" customWidth="1"/>
    <col min="3324" max="3324" width="7.8984375" style="97" customWidth="1"/>
    <col min="3325" max="3325" width="23.59765625" style="97" customWidth="1"/>
    <col min="3326" max="3327" width="14.3984375" style="97" customWidth="1"/>
    <col min="3328" max="3328" width="12" style="97"/>
    <col min="3329" max="3329" width="4.19921875" style="97" customWidth="1"/>
    <col min="3330" max="3330" width="16.09765625" style="97" customWidth="1"/>
    <col min="3331" max="3331" width="10.09765625" style="97" customWidth="1"/>
    <col min="3332" max="3332" width="8.09765625" style="97" customWidth="1"/>
    <col min="3333" max="3333" width="7.69921875" style="97" customWidth="1"/>
    <col min="3334" max="3334" width="8.09765625" style="97" customWidth="1"/>
    <col min="3335" max="3335" width="7.3984375" style="97" customWidth="1"/>
    <col min="3336" max="3337" width="7.59765625" style="97" customWidth="1"/>
    <col min="3338" max="3338" width="6.59765625" style="97" customWidth="1"/>
    <col min="3339" max="3339" width="7.59765625" style="97" customWidth="1"/>
    <col min="3340" max="3340" width="5.09765625" style="97" customWidth="1"/>
    <col min="3341" max="3341" width="5.19921875" style="97" customWidth="1"/>
    <col min="3342" max="3342" width="6.59765625" style="97" customWidth="1"/>
    <col min="3343" max="3343" width="5.19921875" style="97" customWidth="1"/>
    <col min="3344" max="3344" width="6.59765625" style="97" customWidth="1"/>
    <col min="3345" max="3350" width="7.59765625" style="97" customWidth="1"/>
    <col min="3351" max="3351" width="6.5" style="97" customWidth="1"/>
    <col min="3352" max="3352" width="7.19921875" style="97" customWidth="1"/>
    <col min="3353" max="3353" width="8.19921875" style="97" customWidth="1"/>
    <col min="3354" max="3354" width="8.09765625" style="97" customWidth="1"/>
    <col min="3355" max="3356" width="5.19921875" style="97" customWidth="1"/>
    <col min="3357" max="3357" width="7.69921875" style="97" customWidth="1"/>
    <col min="3358" max="3361" width="9.69921875" style="97" customWidth="1"/>
    <col min="3362" max="3364" width="8.59765625" style="97" customWidth="1"/>
    <col min="3365" max="3365" width="10.8984375" style="97" customWidth="1"/>
    <col min="3366" max="3367" width="8.59765625" style="97" customWidth="1"/>
    <col min="3368" max="3368" width="10.59765625" style="97" customWidth="1"/>
    <col min="3369" max="3579" width="8.59765625" style="97" customWidth="1"/>
    <col min="3580" max="3580" width="7.8984375" style="97" customWidth="1"/>
    <col min="3581" max="3581" width="23.59765625" style="97" customWidth="1"/>
    <col min="3582" max="3583" width="14.3984375" style="97" customWidth="1"/>
    <col min="3584" max="3584" width="12" style="97"/>
    <col min="3585" max="3585" width="4.19921875" style="97" customWidth="1"/>
    <col min="3586" max="3586" width="16.09765625" style="97" customWidth="1"/>
    <col min="3587" max="3587" width="10.09765625" style="97" customWidth="1"/>
    <col min="3588" max="3588" width="8.09765625" style="97" customWidth="1"/>
    <col min="3589" max="3589" width="7.69921875" style="97" customWidth="1"/>
    <col min="3590" max="3590" width="8.09765625" style="97" customWidth="1"/>
    <col min="3591" max="3591" width="7.3984375" style="97" customWidth="1"/>
    <col min="3592" max="3593" width="7.59765625" style="97" customWidth="1"/>
    <col min="3594" max="3594" width="6.59765625" style="97" customWidth="1"/>
    <col min="3595" max="3595" width="7.59765625" style="97" customWidth="1"/>
    <col min="3596" max="3596" width="5.09765625" style="97" customWidth="1"/>
    <col min="3597" max="3597" width="5.19921875" style="97" customWidth="1"/>
    <col min="3598" max="3598" width="6.59765625" style="97" customWidth="1"/>
    <col min="3599" max="3599" width="5.19921875" style="97" customWidth="1"/>
    <col min="3600" max="3600" width="6.59765625" style="97" customWidth="1"/>
    <col min="3601" max="3606" width="7.59765625" style="97" customWidth="1"/>
    <col min="3607" max="3607" width="6.5" style="97" customWidth="1"/>
    <col min="3608" max="3608" width="7.19921875" style="97" customWidth="1"/>
    <col min="3609" max="3609" width="8.19921875" style="97" customWidth="1"/>
    <col min="3610" max="3610" width="8.09765625" style="97" customWidth="1"/>
    <col min="3611" max="3612" width="5.19921875" style="97" customWidth="1"/>
    <col min="3613" max="3613" width="7.69921875" style="97" customWidth="1"/>
    <col min="3614" max="3617" width="9.69921875" style="97" customWidth="1"/>
    <col min="3618" max="3620" width="8.59765625" style="97" customWidth="1"/>
    <col min="3621" max="3621" width="10.8984375" style="97" customWidth="1"/>
    <col min="3622" max="3623" width="8.59765625" style="97" customWidth="1"/>
    <col min="3624" max="3624" width="10.59765625" style="97" customWidth="1"/>
    <col min="3625" max="3835" width="8.59765625" style="97" customWidth="1"/>
    <col min="3836" max="3836" width="7.8984375" style="97" customWidth="1"/>
    <col min="3837" max="3837" width="23.59765625" style="97" customWidth="1"/>
    <col min="3838" max="3839" width="14.3984375" style="97" customWidth="1"/>
    <col min="3840" max="3840" width="12" style="97"/>
    <col min="3841" max="3841" width="4.19921875" style="97" customWidth="1"/>
    <col min="3842" max="3842" width="16.09765625" style="97" customWidth="1"/>
    <col min="3843" max="3843" width="10.09765625" style="97" customWidth="1"/>
    <col min="3844" max="3844" width="8.09765625" style="97" customWidth="1"/>
    <col min="3845" max="3845" width="7.69921875" style="97" customWidth="1"/>
    <col min="3846" max="3846" width="8.09765625" style="97" customWidth="1"/>
    <col min="3847" max="3847" width="7.3984375" style="97" customWidth="1"/>
    <col min="3848" max="3849" width="7.59765625" style="97" customWidth="1"/>
    <col min="3850" max="3850" width="6.59765625" style="97" customWidth="1"/>
    <col min="3851" max="3851" width="7.59765625" style="97" customWidth="1"/>
    <col min="3852" max="3852" width="5.09765625" style="97" customWidth="1"/>
    <col min="3853" max="3853" width="5.19921875" style="97" customWidth="1"/>
    <col min="3854" max="3854" width="6.59765625" style="97" customWidth="1"/>
    <col min="3855" max="3855" width="5.19921875" style="97" customWidth="1"/>
    <col min="3856" max="3856" width="6.59765625" style="97" customWidth="1"/>
    <col min="3857" max="3862" width="7.59765625" style="97" customWidth="1"/>
    <col min="3863" max="3863" width="6.5" style="97" customWidth="1"/>
    <col min="3864" max="3864" width="7.19921875" style="97" customWidth="1"/>
    <col min="3865" max="3865" width="8.19921875" style="97" customWidth="1"/>
    <col min="3866" max="3866" width="8.09765625" style="97" customWidth="1"/>
    <col min="3867" max="3868" width="5.19921875" style="97" customWidth="1"/>
    <col min="3869" max="3869" width="7.69921875" style="97" customWidth="1"/>
    <col min="3870" max="3873" width="9.69921875" style="97" customWidth="1"/>
    <col min="3874" max="3876" width="8.59765625" style="97" customWidth="1"/>
    <col min="3877" max="3877" width="10.8984375" style="97" customWidth="1"/>
    <col min="3878" max="3879" width="8.59765625" style="97" customWidth="1"/>
    <col min="3880" max="3880" width="10.59765625" style="97" customWidth="1"/>
    <col min="3881" max="4091" width="8.59765625" style="97" customWidth="1"/>
    <col min="4092" max="4092" width="7.8984375" style="97" customWidth="1"/>
    <col min="4093" max="4093" width="23.59765625" style="97" customWidth="1"/>
    <col min="4094" max="4095" width="14.3984375" style="97" customWidth="1"/>
    <col min="4096" max="4096" width="12" style="97"/>
    <col min="4097" max="4097" width="4.19921875" style="97" customWidth="1"/>
    <col min="4098" max="4098" width="16.09765625" style="97" customWidth="1"/>
    <col min="4099" max="4099" width="10.09765625" style="97" customWidth="1"/>
    <col min="4100" max="4100" width="8.09765625" style="97" customWidth="1"/>
    <col min="4101" max="4101" width="7.69921875" style="97" customWidth="1"/>
    <col min="4102" max="4102" width="8.09765625" style="97" customWidth="1"/>
    <col min="4103" max="4103" width="7.3984375" style="97" customWidth="1"/>
    <col min="4104" max="4105" width="7.59765625" style="97" customWidth="1"/>
    <col min="4106" max="4106" width="6.59765625" style="97" customWidth="1"/>
    <col min="4107" max="4107" width="7.59765625" style="97" customWidth="1"/>
    <col min="4108" max="4108" width="5.09765625" style="97" customWidth="1"/>
    <col min="4109" max="4109" width="5.19921875" style="97" customWidth="1"/>
    <col min="4110" max="4110" width="6.59765625" style="97" customWidth="1"/>
    <col min="4111" max="4111" width="5.19921875" style="97" customWidth="1"/>
    <col min="4112" max="4112" width="6.59765625" style="97" customWidth="1"/>
    <col min="4113" max="4118" width="7.59765625" style="97" customWidth="1"/>
    <col min="4119" max="4119" width="6.5" style="97" customWidth="1"/>
    <col min="4120" max="4120" width="7.19921875" style="97" customWidth="1"/>
    <col min="4121" max="4121" width="8.19921875" style="97" customWidth="1"/>
    <col min="4122" max="4122" width="8.09765625" style="97" customWidth="1"/>
    <col min="4123" max="4124" width="5.19921875" style="97" customWidth="1"/>
    <col min="4125" max="4125" width="7.69921875" style="97" customWidth="1"/>
    <col min="4126" max="4129" width="9.69921875" style="97" customWidth="1"/>
    <col min="4130" max="4132" width="8.59765625" style="97" customWidth="1"/>
    <col min="4133" max="4133" width="10.8984375" style="97" customWidth="1"/>
    <col min="4134" max="4135" width="8.59765625" style="97" customWidth="1"/>
    <col min="4136" max="4136" width="10.59765625" style="97" customWidth="1"/>
    <col min="4137" max="4347" width="8.59765625" style="97" customWidth="1"/>
    <col min="4348" max="4348" width="7.8984375" style="97" customWidth="1"/>
    <col min="4349" max="4349" width="23.59765625" style="97" customWidth="1"/>
    <col min="4350" max="4351" width="14.3984375" style="97" customWidth="1"/>
    <col min="4352" max="4352" width="12" style="97"/>
    <col min="4353" max="4353" width="4.19921875" style="97" customWidth="1"/>
    <col min="4354" max="4354" width="16.09765625" style="97" customWidth="1"/>
    <col min="4355" max="4355" width="10.09765625" style="97" customWidth="1"/>
    <col min="4356" max="4356" width="8.09765625" style="97" customWidth="1"/>
    <col min="4357" max="4357" width="7.69921875" style="97" customWidth="1"/>
    <col min="4358" max="4358" width="8.09765625" style="97" customWidth="1"/>
    <col min="4359" max="4359" width="7.3984375" style="97" customWidth="1"/>
    <col min="4360" max="4361" width="7.59765625" style="97" customWidth="1"/>
    <col min="4362" max="4362" width="6.59765625" style="97" customWidth="1"/>
    <col min="4363" max="4363" width="7.59765625" style="97" customWidth="1"/>
    <col min="4364" max="4364" width="5.09765625" style="97" customWidth="1"/>
    <col min="4365" max="4365" width="5.19921875" style="97" customWidth="1"/>
    <col min="4366" max="4366" width="6.59765625" style="97" customWidth="1"/>
    <col min="4367" max="4367" width="5.19921875" style="97" customWidth="1"/>
    <col min="4368" max="4368" width="6.59765625" style="97" customWidth="1"/>
    <col min="4369" max="4374" width="7.59765625" style="97" customWidth="1"/>
    <col min="4375" max="4375" width="6.5" style="97" customWidth="1"/>
    <col min="4376" max="4376" width="7.19921875" style="97" customWidth="1"/>
    <col min="4377" max="4377" width="8.19921875" style="97" customWidth="1"/>
    <col min="4378" max="4378" width="8.09765625" style="97" customWidth="1"/>
    <col min="4379" max="4380" width="5.19921875" style="97" customWidth="1"/>
    <col min="4381" max="4381" width="7.69921875" style="97" customWidth="1"/>
    <col min="4382" max="4385" width="9.69921875" style="97" customWidth="1"/>
    <col min="4386" max="4388" width="8.59765625" style="97" customWidth="1"/>
    <col min="4389" max="4389" width="10.8984375" style="97" customWidth="1"/>
    <col min="4390" max="4391" width="8.59765625" style="97" customWidth="1"/>
    <col min="4392" max="4392" width="10.59765625" style="97" customWidth="1"/>
    <col min="4393" max="4603" width="8.59765625" style="97" customWidth="1"/>
    <col min="4604" max="4604" width="7.8984375" style="97" customWidth="1"/>
    <col min="4605" max="4605" width="23.59765625" style="97" customWidth="1"/>
    <col min="4606" max="4607" width="14.3984375" style="97" customWidth="1"/>
    <col min="4608" max="4608" width="12" style="97"/>
    <col min="4609" max="4609" width="4.19921875" style="97" customWidth="1"/>
    <col min="4610" max="4610" width="16.09765625" style="97" customWidth="1"/>
    <col min="4611" max="4611" width="10.09765625" style="97" customWidth="1"/>
    <col min="4612" max="4612" width="8.09765625" style="97" customWidth="1"/>
    <col min="4613" max="4613" width="7.69921875" style="97" customWidth="1"/>
    <col min="4614" max="4614" width="8.09765625" style="97" customWidth="1"/>
    <col min="4615" max="4615" width="7.3984375" style="97" customWidth="1"/>
    <col min="4616" max="4617" width="7.59765625" style="97" customWidth="1"/>
    <col min="4618" max="4618" width="6.59765625" style="97" customWidth="1"/>
    <col min="4619" max="4619" width="7.59765625" style="97" customWidth="1"/>
    <col min="4620" max="4620" width="5.09765625" style="97" customWidth="1"/>
    <col min="4621" max="4621" width="5.19921875" style="97" customWidth="1"/>
    <col min="4622" max="4622" width="6.59765625" style="97" customWidth="1"/>
    <col min="4623" max="4623" width="5.19921875" style="97" customWidth="1"/>
    <col min="4624" max="4624" width="6.59765625" style="97" customWidth="1"/>
    <col min="4625" max="4630" width="7.59765625" style="97" customWidth="1"/>
    <col min="4631" max="4631" width="6.5" style="97" customWidth="1"/>
    <col min="4632" max="4632" width="7.19921875" style="97" customWidth="1"/>
    <col min="4633" max="4633" width="8.19921875" style="97" customWidth="1"/>
    <col min="4634" max="4634" width="8.09765625" style="97" customWidth="1"/>
    <col min="4635" max="4636" width="5.19921875" style="97" customWidth="1"/>
    <col min="4637" max="4637" width="7.69921875" style="97" customWidth="1"/>
    <col min="4638" max="4641" width="9.69921875" style="97" customWidth="1"/>
    <col min="4642" max="4644" width="8.59765625" style="97" customWidth="1"/>
    <col min="4645" max="4645" width="10.8984375" style="97" customWidth="1"/>
    <col min="4646" max="4647" width="8.59765625" style="97" customWidth="1"/>
    <col min="4648" max="4648" width="10.59765625" style="97" customWidth="1"/>
    <col min="4649" max="4859" width="8.59765625" style="97" customWidth="1"/>
    <col min="4860" max="4860" width="7.8984375" style="97" customWidth="1"/>
    <col min="4861" max="4861" width="23.59765625" style="97" customWidth="1"/>
    <col min="4862" max="4863" width="14.3984375" style="97" customWidth="1"/>
    <col min="4864" max="4864" width="12" style="97"/>
    <col min="4865" max="4865" width="4.19921875" style="97" customWidth="1"/>
    <col min="4866" max="4866" width="16.09765625" style="97" customWidth="1"/>
    <col min="4867" max="4867" width="10.09765625" style="97" customWidth="1"/>
    <col min="4868" max="4868" width="8.09765625" style="97" customWidth="1"/>
    <col min="4869" max="4869" width="7.69921875" style="97" customWidth="1"/>
    <col min="4870" max="4870" width="8.09765625" style="97" customWidth="1"/>
    <col min="4871" max="4871" width="7.3984375" style="97" customWidth="1"/>
    <col min="4872" max="4873" width="7.59765625" style="97" customWidth="1"/>
    <col min="4874" max="4874" width="6.59765625" style="97" customWidth="1"/>
    <col min="4875" max="4875" width="7.59765625" style="97" customWidth="1"/>
    <col min="4876" max="4876" width="5.09765625" style="97" customWidth="1"/>
    <col min="4877" max="4877" width="5.19921875" style="97" customWidth="1"/>
    <col min="4878" max="4878" width="6.59765625" style="97" customWidth="1"/>
    <col min="4879" max="4879" width="5.19921875" style="97" customWidth="1"/>
    <col min="4880" max="4880" width="6.59765625" style="97" customWidth="1"/>
    <col min="4881" max="4886" width="7.59765625" style="97" customWidth="1"/>
    <col min="4887" max="4887" width="6.5" style="97" customWidth="1"/>
    <col min="4888" max="4888" width="7.19921875" style="97" customWidth="1"/>
    <col min="4889" max="4889" width="8.19921875" style="97" customWidth="1"/>
    <col min="4890" max="4890" width="8.09765625" style="97" customWidth="1"/>
    <col min="4891" max="4892" width="5.19921875" style="97" customWidth="1"/>
    <col min="4893" max="4893" width="7.69921875" style="97" customWidth="1"/>
    <col min="4894" max="4897" width="9.69921875" style="97" customWidth="1"/>
    <col min="4898" max="4900" width="8.59765625" style="97" customWidth="1"/>
    <col min="4901" max="4901" width="10.8984375" style="97" customWidth="1"/>
    <col min="4902" max="4903" width="8.59765625" style="97" customWidth="1"/>
    <col min="4904" max="4904" width="10.59765625" style="97" customWidth="1"/>
    <col min="4905" max="5115" width="8.59765625" style="97" customWidth="1"/>
    <col min="5116" max="5116" width="7.8984375" style="97" customWidth="1"/>
    <col min="5117" max="5117" width="23.59765625" style="97" customWidth="1"/>
    <col min="5118" max="5119" width="14.3984375" style="97" customWidth="1"/>
    <col min="5120" max="5120" width="12" style="97"/>
    <col min="5121" max="5121" width="4.19921875" style="97" customWidth="1"/>
    <col min="5122" max="5122" width="16.09765625" style="97" customWidth="1"/>
    <col min="5123" max="5123" width="10.09765625" style="97" customWidth="1"/>
    <col min="5124" max="5124" width="8.09765625" style="97" customWidth="1"/>
    <col min="5125" max="5125" width="7.69921875" style="97" customWidth="1"/>
    <col min="5126" max="5126" width="8.09765625" style="97" customWidth="1"/>
    <col min="5127" max="5127" width="7.3984375" style="97" customWidth="1"/>
    <col min="5128" max="5129" width="7.59765625" style="97" customWidth="1"/>
    <col min="5130" max="5130" width="6.59765625" style="97" customWidth="1"/>
    <col min="5131" max="5131" width="7.59765625" style="97" customWidth="1"/>
    <col min="5132" max="5132" width="5.09765625" style="97" customWidth="1"/>
    <col min="5133" max="5133" width="5.19921875" style="97" customWidth="1"/>
    <col min="5134" max="5134" width="6.59765625" style="97" customWidth="1"/>
    <col min="5135" max="5135" width="5.19921875" style="97" customWidth="1"/>
    <col min="5136" max="5136" width="6.59765625" style="97" customWidth="1"/>
    <col min="5137" max="5142" width="7.59765625" style="97" customWidth="1"/>
    <col min="5143" max="5143" width="6.5" style="97" customWidth="1"/>
    <col min="5144" max="5144" width="7.19921875" style="97" customWidth="1"/>
    <col min="5145" max="5145" width="8.19921875" style="97" customWidth="1"/>
    <col min="5146" max="5146" width="8.09765625" style="97" customWidth="1"/>
    <col min="5147" max="5148" width="5.19921875" style="97" customWidth="1"/>
    <col min="5149" max="5149" width="7.69921875" style="97" customWidth="1"/>
    <col min="5150" max="5153" width="9.69921875" style="97" customWidth="1"/>
    <col min="5154" max="5156" width="8.59765625" style="97" customWidth="1"/>
    <col min="5157" max="5157" width="10.8984375" style="97" customWidth="1"/>
    <col min="5158" max="5159" width="8.59765625" style="97" customWidth="1"/>
    <col min="5160" max="5160" width="10.59765625" style="97" customWidth="1"/>
    <col min="5161" max="5371" width="8.59765625" style="97" customWidth="1"/>
    <col min="5372" max="5372" width="7.8984375" style="97" customWidth="1"/>
    <col min="5373" max="5373" width="23.59765625" style="97" customWidth="1"/>
    <col min="5374" max="5375" width="14.3984375" style="97" customWidth="1"/>
    <col min="5376" max="5376" width="12" style="97"/>
    <col min="5377" max="5377" width="4.19921875" style="97" customWidth="1"/>
    <col min="5378" max="5378" width="16.09765625" style="97" customWidth="1"/>
    <col min="5379" max="5379" width="10.09765625" style="97" customWidth="1"/>
    <col min="5380" max="5380" width="8.09765625" style="97" customWidth="1"/>
    <col min="5381" max="5381" width="7.69921875" style="97" customWidth="1"/>
    <col min="5382" max="5382" width="8.09765625" style="97" customWidth="1"/>
    <col min="5383" max="5383" width="7.3984375" style="97" customWidth="1"/>
    <col min="5384" max="5385" width="7.59765625" style="97" customWidth="1"/>
    <col min="5386" max="5386" width="6.59765625" style="97" customWidth="1"/>
    <col min="5387" max="5387" width="7.59765625" style="97" customWidth="1"/>
    <col min="5388" max="5388" width="5.09765625" style="97" customWidth="1"/>
    <col min="5389" max="5389" width="5.19921875" style="97" customWidth="1"/>
    <col min="5390" max="5390" width="6.59765625" style="97" customWidth="1"/>
    <col min="5391" max="5391" width="5.19921875" style="97" customWidth="1"/>
    <col min="5392" max="5392" width="6.59765625" style="97" customWidth="1"/>
    <col min="5393" max="5398" width="7.59765625" style="97" customWidth="1"/>
    <col min="5399" max="5399" width="6.5" style="97" customWidth="1"/>
    <col min="5400" max="5400" width="7.19921875" style="97" customWidth="1"/>
    <col min="5401" max="5401" width="8.19921875" style="97" customWidth="1"/>
    <col min="5402" max="5402" width="8.09765625" style="97" customWidth="1"/>
    <col min="5403" max="5404" width="5.19921875" style="97" customWidth="1"/>
    <col min="5405" max="5405" width="7.69921875" style="97" customWidth="1"/>
    <col min="5406" max="5409" width="9.69921875" style="97" customWidth="1"/>
    <col min="5410" max="5412" width="8.59765625" style="97" customWidth="1"/>
    <col min="5413" max="5413" width="10.8984375" style="97" customWidth="1"/>
    <col min="5414" max="5415" width="8.59765625" style="97" customWidth="1"/>
    <col min="5416" max="5416" width="10.59765625" style="97" customWidth="1"/>
    <col min="5417" max="5627" width="8.59765625" style="97" customWidth="1"/>
    <col min="5628" max="5628" width="7.8984375" style="97" customWidth="1"/>
    <col min="5629" max="5629" width="23.59765625" style="97" customWidth="1"/>
    <col min="5630" max="5631" width="14.3984375" style="97" customWidth="1"/>
    <col min="5632" max="5632" width="12" style="97"/>
    <col min="5633" max="5633" width="4.19921875" style="97" customWidth="1"/>
    <col min="5634" max="5634" width="16.09765625" style="97" customWidth="1"/>
    <col min="5635" max="5635" width="10.09765625" style="97" customWidth="1"/>
    <col min="5636" max="5636" width="8.09765625" style="97" customWidth="1"/>
    <col min="5637" max="5637" width="7.69921875" style="97" customWidth="1"/>
    <col min="5638" max="5638" width="8.09765625" style="97" customWidth="1"/>
    <col min="5639" max="5639" width="7.3984375" style="97" customWidth="1"/>
    <col min="5640" max="5641" width="7.59765625" style="97" customWidth="1"/>
    <col min="5642" max="5642" width="6.59765625" style="97" customWidth="1"/>
    <col min="5643" max="5643" width="7.59765625" style="97" customWidth="1"/>
    <col min="5644" max="5644" width="5.09765625" style="97" customWidth="1"/>
    <col min="5645" max="5645" width="5.19921875" style="97" customWidth="1"/>
    <col min="5646" max="5646" width="6.59765625" style="97" customWidth="1"/>
    <col min="5647" max="5647" width="5.19921875" style="97" customWidth="1"/>
    <col min="5648" max="5648" width="6.59765625" style="97" customWidth="1"/>
    <col min="5649" max="5654" width="7.59765625" style="97" customWidth="1"/>
    <col min="5655" max="5655" width="6.5" style="97" customWidth="1"/>
    <col min="5656" max="5656" width="7.19921875" style="97" customWidth="1"/>
    <col min="5657" max="5657" width="8.19921875" style="97" customWidth="1"/>
    <col min="5658" max="5658" width="8.09765625" style="97" customWidth="1"/>
    <col min="5659" max="5660" width="5.19921875" style="97" customWidth="1"/>
    <col min="5661" max="5661" width="7.69921875" style="97" customWidth="1"/>
    <col min="5662" max="5665" width="9.69921875" style="97" customWidth="1"/>
    <col min="5666" max="5668" width="8.59765625" style="97" customWidth="1"/>
    <col min="5669" max="5669" width="10.8984375" style="97" customWidth="1"/>
    <col min="5670" max="5671" width="8.59765625" style="97" customWidth="1"/>
    <col min="5672" max="5672" width="10.59765625" style="97" customWidth="1"/>
    <col min="5673" max="5883" width="8.59765625" style="97" customWidth="1"/>
    <col min="5884" max="5884" width="7.8984375" style="97" customWidth="1"/>
    <col min="5885" max="5885" width="23.59765625" style="97" customWidth="1"/>
    <col min="5886" max="5887" width="14.3984375" style="97" customWidth="1"/>
    <col min="5888" max="5888" width="12" style="97"/>
    <col min="5889" max="5889" width="4.19921875" style="97" customWidth="1"/>
    <col min="5890" max="5890" width="16.09765625" style="97" customWidth="1"/>
    <col min="5891" max="5891" width="10.09765625" style="97" customWidth="1"/>
    <col min="5892" max="5892" width="8.09765625" style="97" customWidth="1"/>
    <col min="5893" max="5893" width="7.69921875" style="97" customWidth="1"/>
    <col min="5894" max="5894" width="8.09765625" style="97" customWidth="1"/>
    <col min="5895" max="5895" width="7.3984375" style="97" customWidth="1"/>
    <col min="5896" max="5897" width="7.59765625" style="97" customWidth="1"/>
    <col min="5898" max="5898" width="6.59765625" style="97" customWidth="1"/>
    <col min="5899" max="5899" width="7.59765625" style="97" customWidth="1"/>
    <col min="5900" max="5900" width="5.09765625" style="97" customWidth="1"/>
    <col min="5901" max="5901" width="5.19921875" style="97" customWidth="1"/>
    <col min="5902" max="5902" width="6.59765625" style="97" customWidth="1"/>
    <col min="5903" max="5903" width="5.19921875" style="97" customWidth="1"/>
    <col min="5904" max="5904" width="6.59765625" style="97" customWidth="1"/>
    <col min="5905" max="5910" width="7.59765625" style="97" customWidth="1"/>
    <col min="5911" max="5911" width="6.5" style="97" customWidth="1"/>
    <col min="5912" max="5912" width="7.19921875" style="97" customWidth="1"/>
    <col min="5913" max="5913" width="8.19921875" style="97" customWidth="1"/>
    <col min="5914" max="5914" width="8.09765625" style="97" customWidth="1"/>
    <col min="5915" max="5916" width="5.19921875" style="97" customWidth="1"/>
    <col min="5917" max="5917" width="7.69921875" style="97" customWidth="1"/>
    <col min="5918" max="5921" width="9.69921875" style="97" customWidth="1"/>
    <col min="5922" max="5924" width="8.59765625" style="97" customWidth="1"/>
    <col min="5925" max="5925" width="10.8984375" style="97" customWidth="1"/>
    <col min="5926" max="5927" width="8.59765625" style="97" customWidth="1"/>
    <col min="5928" max="5928" width="10.59765625" style="97" customWidth="1"/>
    <col min="5929" max="6139" width="8.59765625" style="97" customWidth="1"/>
    <col min="6140" max="6140" width="7.8984375" style="97" customWidth="1"/>
    <col min="6141" max="6141" width="23.59765625" style="97" customWidth="1"/>
    <col min="6142" max="6143" width="14.3984375" style="97" customWidth="1"/>
    <col min="6144" max="6144" width="12" style="97"/>
    <col min="6145" max="6145" width="4.19921875" style="97" customWidth="1"/>
    <col min="6146" max="6146" width="16.09765625" style="97" customWidth="1"/>
    <col min="6147" max="6147" width="10.09765625" style="97" customWidth="1"/>
    <col min="6148" max="6148" width="8.09765625" style="97" customWidth="1"/>
    <col min="6149" max="6149" width="7.69921875" style="97" customWidth="1"/>
    <col min="6150" max="6150" width="8.09765625" style="97" customWidth="1"/>
    <col min="6151" max="6151" width="7.3984375" style="97" customWidth="1"/>
    <col min="6152" max="6153" width="7.59765625" style="97" customWidth="1"/>
    <col min="6154" max="6154" width="6.59765625" style="97" customWidth="1"/>
    <col min="6155" max="6155" width="7.59765625" style="97" customWidth="1"/>
    <col min="6156" max="6156" width="5.09765625" style="97" customWidth="1"/>
    <col min="6157" max="6157" width="5.19921875" style="97" customWidth="1"/>
    <col min="6158" max="6158" width="6.59765625" style="97" customWidth="1"/>
    <col min="6159" max="6159" width="5.19921875" style="97" customWidth="1"/>
    <col min="6160" max="6160" width="6.59765625" style="97" customWidth="1"/>
    <col min="6161" max="6166" width="7.59765625" style="97" customWidth="1"/>
    <col min="6167" max="6167" width="6.5" style="97" customWidth="1"/>
    <col min="6168" max="6168" width="7.19921875" style="97" customWidth="1"/>
    <col min="6169" max="6169" width="8.19921875" style="97" customWidth="1"/>
    <col min="6170" max="6170" width="8.09765625" style="97" customWidth="1"/>
    <col min="6171" max="6172" width="5.19921875" style="97" customWidth="1"/>
    <col min="6173" max="6173" width="7.69921875" style="97" customWidth="1"/>
    <col min="6174" max="6177" width="9.69921875" style="97" customWidth="1"/>
    <col min="6178" max="6180" width="8.59765625" style="97" customWidth="1"/>
    <col min="6181" max="6181" width="10.8984375" style="97" customWidth="1"/>
    <col min="6182" max="6183" width="8.59765625" style="97" customWidth="1"/>
    <col min="6184" max="6184" width="10.59765625" style="97" customWidth="1"/>
    <col min="6185" max="6395" width="8.59765625" style="97" customWidth="1"/>
    <col min="6396" max="6396" width="7.8984375" style="97" customWidth="1"/>
    <col min="6397" max="6397" width="23.59765625" style="97" customWidth="1"/>
    <col min="6398" max="6399" width="14.3984375" style="97" customWidth="1"/>
    <col min="6400" max="6400" width="12" style="97"/>
    <col min="6401" max="6401" width="4.19921875" style="97" customWidth="1"/>
    <col min="6402" max="6402" width="16.09765625" style="97" customWidth="1"/>
    <col min="6403" max="6403" width="10.09765625" style="97" customWidth="1"/>
    <col min="6404" max="6404" width="8.09765625" style="97" customWidth="1"/>
    <col min="6405" max="6405" width="7.69921875" style="97" customWidth="1"/>
    <col min="6406" max="6406" width="8.09765625" style="97" customWidth="1"/>
    <col min="6407" max="6407" width="7.3984375" style="97" customWidth="1"/>
    <col min="6408" max="6409" width="7.59765625" style="97" customWidth="1"/>
    <col min="6410" max="6410" width="6.59765625" style="97" customWidth="1"/>
    <col min="6411" max="6411" width="7.59765625" style="97" customWidth="1"/>
    <col min="6412" max="6412" width="5.09765625" style="97" customWidth="1"/>
    <col min="6413" max="6413" width="5.19921875" style="97" customWidth="1"/>
    <col min="6414" max="6414" width="6.59765625" style="97" customWidth="1"/>
    <col min="6415" max="6415" width="5.19921875" style="97" customWidth="1"/>
    <col min="6416" max="6416" width="6.59765625" style="97" customWidth="1"/>
    <col min="6417" max="6422" width="7.59765625" style="97" customWidth="1"/>
    <col min="6423" max="6423" width="6.5" style="97" customWidth="1"/>
    <col min="6424" max="6424" width="7.19921875" style="97" customWidth="1"/>
    <col min="6425" max="6425" width="8.19921875" style="97" customWidth="1"/>
    <col min="6426" max="6426" width="8.09765625" style="97" customWidth="1"/>
    <col min="6427" max="6428" width="5.19921875" style="97" customWidth="1"/>
    <col min="6429" max="6429" width="7.69921875" style="97" customWidth="1"/>
    <col min="6430" max="6433" width="9.69921875" style="97" customWidth="1"/>
    <col min="6434" max="6436" width="8.59765625" style="97" customWidth="1"/>
    <col min="6437" max="6437" width="10.8984375" style="97" customWidth="1"/>
    <col min="6438" max="6439" width="8.59765625" style="97" customWidth="1"/>
    <col min="6440" max="6440" width="10.59765625" style="97" customWidth="1"/>
    <col min="6441" max="6651" width="8.59765625" style="97" customWidth="1"/>
    <col min="6652" max="6652" width="7.8984375" style="97" customWidth="1"/>
    <col min="6653" max="6653" width="23.59765625" style="97" customWidth="1"/>
    <col min="6654" max="6655" width="14.3984375" style="97" customWidth="1"/>
    <col min="6656" max="6656" width="12" style="97"/>
    <col min="6657" max="6657" width="4.19921875" style="97" customWidth="1"/>
    <col min="6658" max="6658" width="16.09765625" style="97" customWidth="1"/>
    <col min="6659" max="6659" width="10.09765625" style="97" customWidth="1"/>
    <col min="6660" max="6660" width="8.09765625" style="97" customWidth="1"/>
    <col min="6661" max="6661" width="7.69921875" style="97" customWidth="1"/>
    <col min="6662" max="6662" width="8.09765625" style="97" customWidth="1"/>
    <col min="6663" max="6663" width="7.3984375" style="97" customWidth="1"/>
    <col min="6664" max="6665" width="7.59765625" style="97" customWidth="1"/>
    <col min="6666" max="6666" width="6.59765625" style="97" customWidth="1"/>
    <col min="6667" max="6667" width="7.59765625" style="97" customWidth="1"/>
    <col min="6668" max="6668" width="5.09765625" style="97" customWidth="1"/>
    <col min="6669" max="6669" width="5.19921875" style="97" customWidth="1"/>
    <col min="6670" max="6670" width="6.59765625" style="97" customWidth="1"/>
    <col min="6671" max="6671" width="5.19921875" style="97" customWidth="1"/>
    <col min="6672" max="6672" width="6.59765625" style="97" customWidth="1"/>
    <col min="6673" max="6678" width="7.59765625" style="97" customWidth="1"/>
    <col min="6679" max="6679" width="6.5" style="97" customWidth="1"/>
    <col min="6680" max="6680" width="7.19921875" style="97" customWidth="1"/>
    <col min="6681" max="6681" width="8.19921875" style="97" customWidth="1"/>
    <col min="6682" max="6682" width="8.09765625" style="97" customWidth="1"/>
    <col min="6683" max="6684" width="5.19921875" style="97" customWidth="1"/>
    <col min="6685" max="6685" width="7.69921875" style="97" customWidth="1"/>
    <col min="6686" max="6689" width="9.69921875" style="97" customWidth="1"/>
    <col min="6690" max="6692" width="8.59765625" style="97" customWidth="1"/>
    <col min="6693" max="6693" width="10.8984375" style="97" customWidth="1"/>
    <col min="6694" max="6695" width="8.59765625" style="97" customWidth="1"/>
    <col min="6696" max="6696" width="10.59765625" style="97" customWidth="1"/>
    <col min="6697" max="6907" width="8.59765625" style="97" customWidth="1"/>
    <col min="6908" max="6908" width="7.8984375" style="97" customWidth="1"/>
    <col min="6909" max="6909" width="23.59765625" style="97" customWidth="1"/>
    <col min="6910" max="6911" width="14.3984375" style="97" customWidth="1"/>
    <col min="6912" max="6912" width="12" style="97"/>
    <col min="6913" max="6913" width="4.19921875" style="97" customWidth="1"/>
    <col min="6914" max="6914" width="16.09765625" style="97" customWidth="1"/>
    <col min="6915" max="6915" width="10.09765625" style="97" customWidth="1"/>
    <col min="6916" max="6916" width="8.09765625" style="97" customWidth="1"/>
    <col min="6917" max="6917" width="7.69921875" style="97" customWidth="1"/>
    <col min="6918" max="6918" width="8.09765625" style="97" customWidth="1"/>
    <col min="6919" max="6919" width="7.3984375" style="97" customWidth="1"/>
    <col min="6920" max="6921" width="7.59765625" style="97" customWidth="1"/>
    <col min="6922" max="6922" width="6.59765625" style="97" customWidth="1"/>
    <col min="6923" max="6923" width="7.59765625" style="97" customWidth="1"/>
    <col min="6924" max="6924" width="5.09765625" style="97" customWidth="1"/>
    <col min="6925" max="6925" width="5.19921875" style="97" customWidth="1"/>
    <col min="6926" max="6926" width="6.59765625" style="97" customWidth="1"/>
    <col min="6927" max="6927" width="5.19921875" style="97" customWidth="1"/>
    <col min="6928" max="6928" width="6.59765625" style="97" customWidth="1"/>
    <col min="6929" max="6934" width="7.59765625" style="97" customWidth="1"/>
    <col min="6935" max="6935" width="6.5" style="97" customWidth="1"/>
    <col min="6936" max="6936" width="7.19921875" style="97" customWidth="1"/>
    <col min="6937" max="6937" width="8.19921875" style="97" customWidth="1"/>
    <col min="6938" max="6938" width="8.09765625" style="97" customWidth="1"/>
    <col min="6939" max="6940" width="5.19921875" style="97" customWidth="1"/>
    <col min="6941" max="6941" width="7.69921875" style="97" customWidth="1"/>
    <col min="6942" max="6945" width="9.69921875" style="97" customWidth="1"/>
    <col min="6946" max="6948" width="8.59765625" style="97" customWidth="1"/>
    <col min="6949" max="6949" width="10.8984375" style="97" customWidth="1"/>
    <col min="6950" max="6951" width="8.59765625" style="97" customWidth="1"/>
    <col min="6952" max="6952" width="10.59765625" style="97" customWidth="1"/>
    <col min="6953" max="7163" width="8.59765625" style="97" customWidth="1"/>
    <col min="7164" max="7164" width="7.8984375" style="97" customWidth="1"/>
    <col min="7165" max="7165" width="23.59765625" style="97" customWidth="1"/>
    <col min="7166" max="7167" width="14.3984375" style="97" customWidth="1"/>
    <col min="7168" max="7168" width="12" style="97"/>
    <col min="7169" max="7169" width="4.19921875" style="97" customWidth="1"/>
    <col min="7170" max="7170" width="16.09765625" style="97" customWidth="1"/>
    <col min="7171" max="7171" width="10.09765625" style="97" customWidth="1"/>
    <col min="7172" max="7172" width="8.09765625" style="97" customWidth="1"/>
    <col min="7173" max="7173" width="7.69921875" style="97" customWidth="1"/>
    <col min="7174" max="7174" width="8.09765625" style="97" customWidth="1"/>
    <col min="7175" max="7175" width="7.3984375" style="97" customWidth="1"/>
    <col min="7176" max="7177" width="7.59765625" style="97" customWidth="1"/>
    <col min="7178" max="7178" width="6.59765625" style="97" customWidth="1"/>
    <col min="7179" max="7179" width="7.59765625" style="97" customWidth="1"/>
    <col min="7180" max="7180" width="5.09765625" style="97" customWidth="1"/>
    <col min="7181" max="7181" width="5.19921875" style="97" customWidth="1"/>
    <col min="7182" max="7182" width="6.59765625" style="97" customWidth="1"/>
    <col min="7183" max="7183" width="5.19921875" style="97" customWidth="1"/>
    <col min="7184" max="7184" width="6.59765625" style="97" customWidth="1"/>
    <col min="7185" max="7190" width="7.59765625" style="97" customWidth="1"/>
    <col min="7191" max="7191" width="6.5" style="97" customWidth="1"/>
    <col min="7192" max="7192" width="7.19921875" style="97" customWidth="1"/>
    <col min="7193" max="7193" width="8.19921875" style="97" customWidth="1"/>
    <col min="7194" max="7194" width="8.09765625" style="97" customWidth="1"/>
    <col min="7195" max="7196" width="5.19921875" style="97" customWidth="1"/>
    <col min="7197" max="7197" width="7.69921875" style="97" customWidth="1"/>
    <col min="7198" max="7201" width="9.69921875" style="97" customWidth="1"/>
    <col min="7202" max="7204" width="8.59765625" style="97" customWidth="1"/>
    <col min="7205" max="7205" width="10.8984375" style="97" customWidth="1"/>
    <col min="7206" max="7207" width="8.59765625" style="97" customWidth="1"/>
    <col min="7208" max="7208" width="10.59765625" style="97" customWidth="1"/>
    <col min="7209" max="7419" width="8.59765625" style="97" customWidth="1"/>
    <col min="7420" max="7420" width="7.8984375" style="97" customWidth="1"/>
    <col min="7421" max="7421" width="23.59765625" style="97" customWidth="1"/>
    <col min="7422" max="7423" width="14.3984375" style="97" customWidth="1"/>
    <col min="7424" max="7424" width="12" style="97"/>
    <col min="7425" max="7425" width="4.19921875" style="97" customWidth="1"/>
    <col min="7426" max="7426" width="16.09765625" style="97" customWidth="1"/>
    <col min="7427" max="7427" width="10.09765625" style="97" customWidth="1"/>
    <col min="7428" max="7428" width="8.09765625" style="97" customWidth="1"/>
    <col min="7429" max="7429" width="7.69921875" style="97" customWidth="1"/>
    <col min="7430" max="7430" width="8.09765625" style="97" customWidth="1"/>
    <col min="7431" max="7431" width="7.3984375" style="97" customWidth="1"/>
    <col min="7432" max="7433" width="7.59765625" style="97" customWidth="1"/>
    <col min="7434" max="7434" width="6.59765625" style="97" customWidth="1"/>
    <col min="7435" max="7435" width="7.59765625" style="97" customWidth="1"/>
    <col min="7436" max="7436" width="5.09765625" style="97" customWidth="1"/>
    <col min="7437" max="7437" width="5.19921875" style="97" customWidth="1"/>
    <col min="7438" max="7438" width="6.59765625" style="97" customWidth="1"/>
    <col min="7439" max="7439" width="5.19921875" style="97" customWidth="1"/>
    <col min="7440" max="7440" width="6.59765625" style="97" customWidth="1"/>
    <col min="7441" max="7446" width="7.59765625" style="97" customWidth="1"/>
    <col min="7447" max="7447" width="6.5" style="97" customWidth="1"/>
    <col min="7448" max="7448" width="7.19921875" style="97" customWidth="1"/>
    <col min="7449" max="7449" width="8.19921875" style="97" customWidth="1"/>
    <col min="7450" max="7450" width="8.09765625" style="97" customWidth="1"/>
    <col min="7451" max="7452" width="5.19921875" style="97" customWidth="1"/>
    <col min="7453" max="7453" width="7.69921875" style="97" customWidth="1"/>
    <col min="7454" max="7457" width="9.69921875" style="97" customWidth="1"/>
    <col min="7458" max="7460" width="8.59765625" style="97" customWidth="1"/>
    <col min="7461" max="7461" width="10.8984375" style="97" customWidth="1"/>
    <col min="7462" max="7463" width="8.59765625" style="97" customWidth="1"/>
    <col min="7464" max="7464" width="10.59765625" style="97" customWidth="1"/>
    <col min="7465" max="7675" width="8.59765625" style="97" customWidth="1"/>
    <col min="7676" max="7676" width="7.8984375" style="97" customWidth="1"/>
    <col min="7677" max="7677" width="23.59765625" style="97" customWidth="1"/>
    <col min="7678" max="7679" width="14.3984375" style="97" customWidth="1"/>
    <col min="7680" max="7680" width="12" style="97"/>
    <col min="7681" max="7681" width="4.19921875" style="97" customWidth="1"/>
    <col min="7682" max="7682" width="16.09765625" style="97" customWidth="1"/>
    <col min="7683" max="7683" width="10.09765625" style="97" customWidth="1"/>
    <col min="7684" max="7684" width="8.09765625" style="97" customWidth="1"/>
    <col min="7685" max="7685" width="7.69921875" style="97" customWidth="1"/>
    <col min="7686" max="7686" width="8.09765625" style="97" customWidth="1"/>
    <col min="7687" max="7687" width="7.3984375" style="97" customWidth="1"/>
    <col min="7688" max="7689" width="7.59765625" style="97" customWidth="1"/>
    <col min="7690" max="7690" width="6.59765625" style="97" customWidth="1"/>
    <col min="7691" max="7691" width="7.59765625" style="97" customWidth="1"/>
    <col min="7692" max="7692" width="5.09765625" style="97" customWidth="1"/>
    <col min="7693" max="7693" width="5.19921875" style="97" customWidth="1"/>
    <col min="7694" max="7694" width="6.59765625" style="97" customWidth="1"/>
    <col min="7695" max="7695" width="5.19921875" style="97" customWidth="1"/>
    <col min="7696" max="7696" width="6.59765625" style="97" customWidth="1"/>
    <col min="7697" max="7702" width="7.59765625" style="97" customWidth="1"/>
    <col min="7703" max="7703" width="6.5" style="97" customWidth="1"/>
    <col min="7704" max="7704" width="7.19921875" style="97" customWidth="1"/>
    <col min="7705" max="7705" width="8.19921875" style="97" customWidth="1"/>
    <col min="7706" max="7706" width="8.09765625" style="97" customWidth="1"/>
    <col min="7707" max="7708" width="5.19921875" style="97" customWidth="1"/>
    <col min="7709" max="7709" width="7.69921875" style="97" customWidth="1"/>
    <col min="7710" max="7713" width="9.69921875" style="97" customWidth="1"/>
    <col min="7714" max="7716" width="8.59765625" style="97" customWidth="1"/>
    <col min="7717" max="7717" width="10.8984375" style="97" customWidth="1"/>
    <col min="7718" max="7719" width="8.59765625" style="97" customWidth="1"/>
    <col min="7720" max="7720" width="10.59765625" style="97" customWidth="1"/>
    <col min="7721" max="7931" width="8.59765625" style="97" customWidth="1"/>
    <col min="7932" max="7932" width="7.8984375" style="97" customWidth="1"/>
    <col min="7933" max="7933" width="23.59765625" style="97" customWidth="1"/>
    <col min="7934" max="7935" width="14.3984375" style="97" customWidth="1"/>
    <col min="7936" max="7936" width="12" style="97"/>
    <col min="7937" max="7937" width="4.19921875" style="97" customWidth="1"/>
    <col min="7938" max="7938" width="16.09765625" style="97" customWidth="1"/>
    <col min="7939" max="7939" width="10.09765625" style="97" customWidth="1"/>
    <col min="7940" max="7940" width="8.09765625" style="97" customWidth="1"/>
    <col min="7941" max="7941" width="7.69921875" style="97" customWidth="1"/>
    <col min="7942" max="7942" width="8.09765625" style="97" customWidth="1"/>
    <col min="7943" max="7943" width="7.3984375" style="97" customWidth="1"/>
    <col min="7944" max="7945" width="7.59765625" style="97" customWidth="1"/>
    <col min="7946" max="7946" width="6.59765625" style="97" customWidth="1"/>
    <col min="7947" max="7947" width="7.59765625" style="97" customWidth="1"/>
    <col min="7948" max="7948" width="5.09765625" style="97" customWidth="1"/>
    <col min="7949" max="7949" width="5.19921875" style="97" customWidth="1"/>
    <col min="7950" max="7950" width="6.59765625" style="97" customWidth="1"/>
    <col min="7951" max="7951" width="5.19921875" style="97" customWidth="1"/>
    <col min="7952" max="7952" width="6.59765625" style="97" customWidth="1"/>
    <col min="7953" max="7958" width="7.59765625" style="97" customWidth="1"/>
    <col min="7959" max="7959" width="6.5" style="97" customWidth="1"/>
    <col min="7960" max="7960" width="7.19921875" style="97" customWidth="1"/>
    <col min="7961" max="7961" width="8.19921875" style="97" customWidth="1"/>
    <col min="7962" max="7962" width="8.09765625" style="97" customWidth="1"/>
    <col min="7963" max="7964" width="5.19921875" style="97" customWidth="1"/>
    <col min="7965" max="7965" width="7.69921875" style="97" customWidth="1"/>
    <col min="7966" max="7969" width="9.69921875" style="97" customWidth="1"/>
    <col min="7970" max="7972" width="8.59765625" style="97" customWidth="1"/>
    <col min="7973" max="7973" width="10.8984375" style="97" customWidth="1"/>
    <col min="7974" max="7975" width="8.59765625" style="97" customWidth="1"/>
    <col min="7976" max="7976" width="10.59765625" style="97" customWidth="1"/>
    <col min="7977" max="8187" width="8.59765625" style="97" customWidth="1"/>
    <col min="8188" max="8188" width="7.8984375" style="97" customWidth="1"/>
    <col min="8189" max="8189" width="23.59765625" style="97" customWidth="1"/>
    <col min="8190" max="8191" width="14.3984375" style="97" customWidth="1"/>
    <col min="8192" max="8192" width="12" style="97"/>
    <col min="8193" max="8193" width="4.19921875" style="97" customWidth="1"/>
    <col min="8194" max="8194" width="16.09765625" style="97" customWidth="1"/>
    <col min="8195" max="8195" width="10.09765625" style="97" customWidth="1"/>
    <col min="8196" max="8196" width="8.09765625" style="97" customWidth="1"/>
    <col min="8197" max="8197" width="7.69921875" style="97" customWidth="1"/>
    <col min="8198" max="8198" width="8.09765625" style="97" customWidth="1"/>
    <col min="8199" max="8199" width="7.3984375" style="97" customWidth="1"/>
    <col min="8200" max="8201" width="7.59765625" style="97" customWidth="1"/>
    <col min="8202" max="8202" width="6.59765625" style="97" customWidth="1"/>
    <col min="8203" max="8203" width="7.59765625" style="97" customWidth="1"/>
    <col min="8204" max="8204" width="5.09765625" style="97" customWidth="1"/>
    <col min="8205" max="8205" width="5.19921875" style="97" customWidth="1"/>
    <col min="8206" max="8206" width="6.59765625" style="97" customWidth="1"/>
    <col min="8207" max="8207" width="5.19921875" style="97" customWidth="1"/>
    <col min="8208" max="8208" width="6.59765625" style="97" customWidth="1"/>
    <col min="8209" max="8214" width="7.59765625" style="97" customWidth="1"/>
    <col min="8215" max="8215" width="6.5" style="97" customWidth="1"/>
    <col min="8216" max="8216" width="7.19921875" style="97" customWidth="1"/>
    <col min="8217" max="8217" width="8.19921875" style="97" customWidth="1"/>
    <col min="8218" max="8218" width="8.09765625" style="97" customWidth="1"/>
    <col min="8219" max="8220" width="5.19921875" style="97" customWidth="1"/>
    <col min="8221" max="8221" width="7.69921875" style="97" customWidth="1"/>
    <col min="8222" max="8225" width="9.69921875" style="97" customWidth="1"/>
    <col min="8226" max="8228" width="8.59765625" style="97" customWidth="1"/>
    <col min="8229" max="8229" width="10.8984375" style="97" customWidth="1"/>
    <col min="8230" max="8231" width="8.59765625" style="97" customWidth="1"/>
    <col min="8232" max="8232" width="10.59765625" style="97" customWidth="1"/>
    <col min="8233" max="8443" width="8.59765625" style="97" customWidth="1"/>
    <col min="8444" max="8444" width="7.8984375" style="97" customWidth="1"/>
    <col min="8445" max="8445" width="23.59765625" style="97" customWidth="1"/>
    <col min="8446" max="8447" width="14.3984375" style="97" customWidth="1"/>
    <col min="8448" max="8448" width="12" style="97"/>
    <col min="8449" max="8449" width="4.19921875" style="97" customWidth="1"/>
    <col min="8450" max="8450" width="16.09765625" style="97" customWidth="1"/>
    <col min="8451" max="8451" width="10.09765625" style="97" customWidth="1"/>
    <col min="8452" max="8452" width="8.09765625" style="97" customWidth="1"/>
    <col min="8453" max="8453" width="7.69921875" style="97" customWidth="1"/>
    <col min="8454" max="8454" width="8.09765625" style="97" customWidth="1"/>
    <col min="8455" max="8455" width="7.3984375" style="97" customWidth="1"/>
    <col min="8456" max="8457" width="7.59765625" style="97" customWidth="1"/>
    <col min="8458" max="8458" width="6.59765625" style="97" customWidth="1"/>
    <col min="8459" max="8459" width="7.59765625" style="97" customWidth="1"/>
    <col min="8460" max="8460" width="5.09765625" style="97" customWidth="1"/>
    <col min="8461" max="8461" width="5.19921875" style="97" customWidth="1"/>
    <col min="8462" max="8462" width="6.59765625" style="97" customWidth="1"/>
    <col min="8463" max="8463" width="5.19921875" style="97" customWidth="1"/>
    <col min="8464" max="8464" width="6.59765625" style="97" customWidth="1"/>
    <col min="8465" max="8470" width="7.59765625" style="97" customWidth="1"/>
    <col min="8471" max="8471" width="6.5" style="97" customWidth="1"/>
    <col min="8472" max="8472" width="7.19921875" style="97" customWidth="1"/>
    <col min="8473" max="8473" width="8.19921875" style="97" customWidth="1"/>
    <col min="8474" max="8474" width="8.09765625" style="97" customWidth="1"/>
    <col min="8475" max="8476" width="5.19921875" style="97" customWidth="1"/>
    <col min="8477" max="8477" width="7.69921875" style="97" customWidth="1"/>
    <col min="8478" max="8481" width="9.69921875" style="97" customWidth="1"/>
    <col min="8482" max="8484" width="8.59765625" style="97" customWidth="1"/>
    <col min="8485" max="8485" width="10.8984375" style="97" customWidth="1"/>
    <col min="8486" max="8487" width="8.59765625" style="97" customWidth="1"/>
    <col min="8488" max="8488" width="10.59765625" style="97" customWidth="1"/>
    <col min="8489" max="8699" width="8.59765625" style="97" customWidth="1"/>
    <col min="8700" max="8700" width="7.8984375" style="97" customWidth="1"/>
    <col min="8701" max="8701" width="23.59765625" style="97" customWidth="1"/>
    <col min="8702" max="8703" width="14.3984375" style="97" customWidth="1"/>
    <col min="8704" max="8704" width="12" style="97"/>
    <col min="8705" max="8705" width="4.19921875" style="97" customWidth="1"/>
    <col min="8706" max="8706" width="16.09765625" style="97" customWidth="1"/>
    <col min="8707" max="8707" width="10.09765625" style="97" customWidth="1"/>
    <col min="8708" max="8708" width="8.09765625" style="97" customWidth="1"/>
    <col min="8709" max="8709" width="7.69921875" style="97" customWidth="1"/>
    <col min="8710" max="8710" width="8.09765625" style="97" customWidth="1"/>
    <col min="8711" max="8711" width="7.3984375" style="97" customWidth="1"/>
    <col min="8712" max="8713" width="7.59765625" style="97" customWidth="1"/>
    <col min="8714" max="8714" width="6.59765625" style="97" customWidth="1"/>
    <col min="8715" max="8715" width="7.59765625" style="97" customWidth="1"/>
    <col min="8716" max="8716" width="5.09765625" style="97" customWidth="1"/>
    <col min="8717" max="8717" width="5.19921875" style="97" customWidth="1"/>
    <col min="8718" max="8718" width="6.59765625" style="97" customWidth="1"/>
    <col min="8719" max="8719" width="5.19921875" style="97" customWidth="1"/>
    <col min="8720" max="8720" width="6.59765625" style="97" customWidth="1"/>
    <col min="8721" max="8726" width="7.59765625" style="97" customWidth="1"/>
    <col min="8727" max="8727" width="6.5" style="97" customWidth="1"/>
    <col min="8728" max="8728" width="7.19921875" style="97" customWidth="1"/>
    <col min="8729" max="8729" width="8.19921875" style="97" customWidth="1"/>
    <col min="8730" max="8730" width="8.09765625" style="97" customWidth="1"/>
    <col min="8731" max="8732" width="5.19921875" style="97" customWidth="1"/>
    <col min="8733" max="8733" width="7.69921875" style="97" customWidth="1"/>
    <col min="8734" max="8737" width="9.69921875" style="97" customWidth="1"/>
    <col min="8738" max="8740" width="8.59765625" style="97" customWidth="1"/>
    <col min="8741" max="8741" width="10.8984375" style="97" customWidth="1"/>
    <col min="8742" max="8743" width="8.59765625" style="97" customWidth="1"/>
    <col min="8744" max="8744" width="10.59765625" style="97" customWidth="1"/>
    <col min="8745" max="8955" width="8.59765625" style="97" customWidth="1"/>
    <col min="8956" max="8956" width="7.8984375" style="97" customWidth="1"/>
    <col min="8957" max="8957" width="23.59765625" style="97" customWidth="1"/>
    <col min="8958" max="8959" width="14.3984375" style="97" customWidth="1"/>
    <col min="8960" max="8960" width="12" style="97"/>
    <col min="8961" max="8961" width="4.19921875" style="97" customWidth="1"/>
    <col min="8962" max="8962" width="16.09765625" style="97" customWidth="1"/>
    <col min="8963" max="8963" width="10.09765625" style="97" customWidth="1"/>
    <col min="8964" max="8964" width="8.09765625" style="97" customWidth="1"/>
    <col min="8965" max="8965" width="7.69921875" style="97" customWidth="1"/>
    <col min="8966" max="8966" width="8.09765625" style="97" customWidth="1"/>
    <col min="8967" max="8967" width="7.3984375" style="97" customWidth="1"/>
    <col min="8968" max="8969" width="7.59765625" style="97" customWidth="1"/>
    <col min="8970" max="8970" width="6.59765625" style="97" customWidth="1"/>
    <col min="8971" max="8971" width="7.59765625" style="97" customWidth="1"/>
    <col min="8972" max="8972" width="5.09765625" style="97" customWidth="1"/>
    <col min="8973" max="8973" width="5.19921875" style="97" customWidth="1"/>
    <col min="8974" max="8974" width="6.59765625" style="97" customWidth="1"/>
    <col min="8975" max="8975" width="5.19921875" style="97" customWidth="1"/>
    <col min="8976" max="8976" width="6.59765625" style="97" customWidth="1"/>
    <col min="8977" max="8982" width="7.59765625" style="97" customWidth="1"/>
    <col min="8983" max="8983" width="6.5" style="97" customWidth="1"/>
    <col min="8984" max="8984" width="7.19921875" style="97" customWidth="1"/>
    <col min="8985" max="8985" width="8.19921875" style="97" customWidth="1"/>
    <col min="8986" max="8986" width="8.09765625" style="97" customWidth="1"/>
    <col min="8987" max="8988" width="5.19921875" style="97" customWidth="1"/>
    <col min="8989" max="8989" width="7.69921875" style="97" customWidth="1"/>
    <col min="8990" max="8993" width="9.69921875" style="97" customWidth="1"/>
    <col min="8994" max="8996" width="8.59765625" style="97" customWidth="1"/>
    <col min="8997" max="8997" width="10.8984375" style="97" customWidth="1"/>
    <col min="8998" max="8999" width="8.59765625" style="97" customWidth="1"/>
    <col min="9000" max="9000" width="10.59765625" style="97" customWidth="1"/>
    <col min="9001" max="9211" width="8.59765625" style="97" customWidth="1"/>
    <col min="9212" max="9212" width="7.8984375" style="97" customWidth="1"/>
    <col min="9213" max="9213" width="23.59765625" style="97" customWidth="1"/>
    <col min="9214" max="9215" width="14.3984375" style="97" customWidth="1"/>
    <col min="9216" max="9216" width="12" style="97"/>
    <col min="9217" max="9217" width="4.19921875" style="97" customWidth="1"/>
    <col min="9218" max="9218" width="16.09765625" style="97" customWidth="1"/>
    <col min="9219" max="9219" width="10.09765625" style="97" customWidth="1"/>
    <col min="9220" max="9220" width="8.09765625" style="97" customWidth="1"/>
    <col min="9221" max="9221" width="7.69921875" style="97" customWidth="1"/>
    <col min="9222" max="9222" width="8.09765625" style="97" customWidth="1"/>
    <col min="9223" max="9223" width="7.3984375" style="97" customWidth="1"/>
    <col min="9224" max="9225" width="7.59765625" style="97" customWidth="1"/>
    <col min="9226" max="9226" width="6.59765625" style="97" customWidth="1"/>
    <col min="9227" max="9227" width="7.59765625" style="97" customWidth="1"/>
    <col min="9228" max="9228" width="5.09765625" style="97" customWidth="1"/>
    <col min="9229" max="9229" width="5.19921875" style="97" customWidth="1"/>
    <col min="9230" max="9230" width="6.59765625" style="97" customWidth="1"/>
    <col min="9231" max="9231" width="5.19921875" style="97" customWidth="1"/>
    <col min="9232" max="9232" width="6.59765625" style="97" customWidth="1"/>
    <col min="9233" max="9238" width="7.59765625" style="97" customWidth="1"/>
    <col min="9239" max="9239" width="6.5" style="97" customWidth="1"/>
    <col min="9240" max="9240" width="7.19921875" style="97" customWidth="1"/>
    <col min="9241" max="9241" width="8.19921875" style="97" customWidth="1"/>
    <col min="9242" max="9242" width="8.09765625" style="97" customWidth="1"/>
    <col min="9243" max="9244" width="5.19921875" style="97" customWidth="1"/>
    <col min="9245" max="9245" width="7.69921875" style="97" customWidth="1"/>
    <col min="9246" max="9249" width="9.69921875" style="97" customWidth="1"/>
    <col min="9250" max="9252" width="8.59765625" style="97" customWidth="1"/>
    <col min="9253" max="9253" width="10.8984375" style="97" customWidth="1"/>
    <col min="9254" max="9255" width="8.59765625" style="97" customWidth="1"/>
    <col min="9256" max="9256" width="10.59765625" style="97" customWidth="1"/>
    <col min="9257" max="9467" width="8.59765625" style="97" customWidth="1"/>
    <col min="9468" max="9468" width="7.8984375" style="97" customWidth="1"/>
    <col min="9469" max="9469" width="23.59765625" style="97" customWidth="1"/>
    <col min="9470" max="9471" width="14.3984375" style="97" customWidth="1"/>
    <col min="9472" max="9472" width="12" style="97"/>
    <col min="9473" max="9473" width="4.19921875" style="97" customWidth="1"/>
    <col min="9474" max="9474" width="16.09765625" style="97" customWidth="1"/>
    <col min="9475" max="9475" width="10.09765625" style="97" customWidth="1"/>
    <col min="9476" max="9476" width="8.09765625" style="97" customWidth="1"/>
    <col min="9477" max="9477" width="7.69921875" style="97" customWidth="1"/>
    <col min="9478" max="9478" width="8.09765625" style="97" customWidth="1"/>
    <col min="9479" max="9479" width="7.3984375" style="97" customWidth="1"/>
    <col min="9480" max="9481" width="7.59765625" style="97" customWidth="1"/>
    <col min="9482" max="9482" width="6.59765625" style="97" customWidth="1"/>
    <col min="9483" max="9483" width="7.59765625" style="97" customWidth="1"/>
    <col min="9484" max="9484" width="5.09765625" style="97" customWidth="1"/>
    <col min="9485" max="9485" width="5.19921875" style="97" customWidth="1"/>
    <col min="9486" max="9486" width="6.59765625" style="97" customWidth="1"/>
    <col min="9487" max="9487" width="5.19921875" style="97" customWidth="1"/>
    <col min="9488" max="9488" width="6.59765625" style="97" customWidth="1"/>
    <col min="9489" max="9494" width="7.59765625" style="97" customWidth="1"/>
    <col min="9495" max="9495" width="6.5" style="97" customWidth="1"/>
    <col min="9496" max="9496" width="7.19921875" style="97" customWidth="1"/>
    <col min="9497" max="9497" width="8.19921875" style="97" customWidth="1"/>
    <col min="9498" max="9498" width="8.09765625" style="97" customWidth="1"/>
    <col min="9499" max="9500" width="5.19921875" style="97" customWidth="1"/>
    <col min="9501" max="9501" width="7.69921875" style="97" customWidth="1"/>
    <col min="9502" max="9505" width="9.69921875" style="97" customWidth="1"/>
    <col min="9506" max="9508" width="8.59765625" style="97" customWidth="1"/>
    <col min="9509" max="9509" width="10.8984375" style="97" customWidth="1"/>
    <col min="9510" max="9511" width="8.59765625" style="97" customWidth="1"/>
    <col min="9512" max="9512" width="10.59765625" style="97" customWidth="1"/>
    <col min="9513" max="9723" width="8.59765625" style="97" customWidth="1"/>
    <col min="9724" max="9724" width="7.8984375" style="97" customWidth="1"/>
    <col min="9725" max="9725" width="23.59765625" style="97" customWidth="1"/>
    <col min="9726" max="9727" width="14.3984375" style="97" customWidth="1"/>
    <col min="9728" max="9728" width="12" style="97"/>
    <col min="9729" max="9729" width="4.19921875" style="97" customWidth="1"/>
    <col min="9730" max="9730" width="16.09765625" style="97" customWidth="1"/>
    <col min="9731" max="9731" width="10.09765625" style="97" customWidth="1"/>
    <col min="9732" max="9732" width="8.09765625" style="97" customWidth="1"/>
    <col min="9733" max="9733" width="7.69921875" style="97" customWidth="1"/>
    <col min="9734" max="9734" width="8.09765625" style="97" customWidth="1"/>
    <col min="9735" max="9735" width="7.3984375" style="97" customWidth="1"/>
    <col min="9736" max="9737" width="7.59765625" style="97" customWidth="1"/>
    <col min="9738" max="9738" width="6.59765625" style="97" customWidth="1"/>
    <col min="9739" max="9739" width="7.59765625" style="97" customWidth="1"/>
    <col min="9740" max="9740" width="5.09765625" style="97" customWidth="1"/>
    <col min="9741" max="9741" width="5.19921875" style="97" customWidth="1"/>
    <col min="9742" max="9742" width="6.59765625" style="97" customWidth="1"/>
    <col min="9743" max="9743" width="5.19921875" style="97" customWidth="1"/>
    <col min="9744" max="9744" width="6.59765625" style="97" customWidth="1"/>
    <col min="9745" max="9750" width="7.59765625" style="97" customWidth="1"/>
    <col min="9751" max="9751" width="6.5" style="97" customWidth="1"/>
    <col min="9752" max="9752" width="7.19921875" style="97" customWidth="1"/>
    <col min="9753" max="9753" width="8.19921875" style="97" customWidth="1"/>
    <col min="9754" max="9754" width="8.09765625" style="97" customWidth="1"/>
    <col min="9755" max="9756" width="5.19921875" style="97" customWidth="1"/>
    <col min="9757" max="9757" width="7.69921875" style="97" customWidth="1"/>
    <col min="9758" max="9761" width="9.69921875" style="97" customWidth="1"/>
    <col min="9762" max="9764" width="8.59765625" style="97" customWidth="1"/>
    <col min="9765" max="9765" width="10.8984375" style="97" customWidth="1"/>
    <col min="9766" max="9767" width="8.59765625" style="97" customWidth="1"/>
    <col min="9768" max="9768" width="10.59765625" style="97" customWidth="1"/>
    <col min="9769" max="9979" width="8.59765625" style="97" customWidth="1"/>
    <col min="9980" max="9980" width="7.8984375" style="97" customWidth="1"/>
    <col min="9981" max="9981" width="23.59765625" style="97" customWidth="1"/>
    <col min="9982" max="9983" width="14.3984375" style="97" customWidth="1"/>
    <col min="9984" max="9984" width="12" style="97"/>
    <col min="9985" max="9985" width="4.19921875" style="97" customWidth="1"/>
    <col min="9986" max="9986" width="16.09765625" style="97" customWidth="1"/>
    <col min="9987" max="9987" width="10.09765625" style="97" customWidth="1"/>
    <col min="9988" max="9988" width="8.09765625" style="97" customWidth="1"/>
    <col min="9989" max="9989" width="7.69921875" style="97" customWidth="1"/>
    <col min="9990" max="9990" width="8.09765625" style="97" customWidth="1"/>
    <col min="9991" max="9991" width="7.3984375" style="97" customWidth="1"/>
    <col min="9992" max="9993" width="7.59765625" style="97" customWidth="1"/>
    <col min="9994" max="9994" width="6.59765625" style="97" customWidth="1"/>
    <col min="9995" max="9995" width="7.59765625" style="97" customWidth="1"/>
    <col min="9996" max="9996" width="5.09765625" style="97" customWidth="1"/>
    <col min="9997" max="9997" width="5.19921875" style="97" customWidth="1"/>
    <col min="9998" max="9998" width="6.59765625" style="97" customWidth="1"/>
    <col min="9999" max="9999" width="5.19921875" style="97" customWidth="1"/>
    <col min="10000" max="10000" width="6.59765625" style="97" customWidth="1"/>
    <col min="10001" max="10006" width="7.59765625" style="97" customWidth="1"/>
    <col min="10007" max="10007" width="6.5" style="97" customWidth="1"/>
    <col min="10008" max="10008" width="7.19921875" style="97" customWidth="1"/>
    <col min="10009" max="10009" width="8.19921875" style="97" customWidth="1"/>
    <col min="10010" max="10010" width="8.09765625" style="97" customWidth="1"/>
    <col min="10011" max="10012" width="5.19921875" style="97" customWidth="1"/>
    <col min="10013" max="10013" width="7.69921875" style="97" customWidth="1"/>
    <col min="10014" max="10017" width="9.69921875" style="97" customWidth="1"/>
    <col min="10018" max="10020" width="8.59765625" style="97" customWidth="1"/>
    <col min="10021" max="10021" width="10.8984375" style="97" customWidth="1"/>
    <col min="10022" max="10023" width="8.59765625" style="97" customWidth="1"/>
    <col min="10024" max="10024" width="10.59765625" style="97" customWidth="1"/>
    <col min="10025" max="10235" width="8.59765625" style="97" customWidth="1"/>
    <col min="10236" max="10236" width="7.8984375" style="97" customWidth="1"/>
    <col min="10237" max="10237" width="23.59765625" style="97" customWidth="1"/>
    <col min="10238" max="10239" width="14.3984375" style="97" customWidth="1"/>
    <col min="10240" max="10240" width="12" style="97"/>
    <col min="10241" max="10241" width="4.19921875" style="97" customWidth="1"/>
    <col min="10242" max="10242" width="16.09765625" style="97" customWidth="1"/>
    <col min="10243" max="10243" width="10.09765625" style="97" customWidth="1"/>
    <col min="10244" max="10244" width="8.09765625" style="97" customWidth="1"/>
    <col min="10245" max="10245" width="7.69921875" style="97" customWidth="1"/>
    <col min="10246" max="10246" width="8.09765625" style="97" customWidth="1"/>
    <col min="10247" max="10247" width="7.3984375" style="97" customWidth="1"/>
    <col min="10248" max="10249" width="7.59765625" style="97" customWidth="1"/>
    <col min="10250" max="10250" width="6.59765625" style="97" customWidth="1"/>
    <col min="10251" max="10251" width="7.59765625" style="97" customWidth="1"/>
    <col min="10252" max="10252" width="5.09765625" style="97" customWidth="1"/>
    <col min="10253" max="10253" width="5.19921875" style="97" customWidth="1"/>
    <col min="10254" max="10254" width="6.59765625" style="97" customWidth="1"/>
    <col min="10255" max="10255" width="5.19921875" style="97" customWidth="1"/>
    <col min="10256" max="10256" width="6.59765625" style="97" customWidth="1"/>
    <col min="10257" max="10262" width="7.59765625" style="97" customWidth="1"/>
    <col min="10263" max="10263" width="6.5" style="97" customWidth="1"/>
    <col min="10264" max="10264" width="7.19921875" style="97" customWidth="1"/>
    <col min="10265" max="10265" width="8.19921875" style="97" customWidth="1"/>
    <col min="10266" max="10266" width="8.09765625" style="97" customWidth="1"/>
    <col min="10267" max="10268" width="5.19921875" style="97" customWidth="1"/>
    <col min="10269" max="10269" width="7.69921875" style="97" customWidth="1"/>
    <col min="10270" max="10273" width="9.69921875" style="97" customWidth="1"/>
    <col min="10274" max="10276" width="8.59765625" style="97" customWidth="1"/>
    <col min="10277" max="10277" width="10.8984375" style="97" customWidth="1"/>
    <col min="10278" max="10279" width="8.59765625" style="97" customWidth="1"/>
    <col min="10280" max="10280" width="10.59765625" style="97" customWidth="1"/>
    <col min="10281" max="10491" width="8.59765625" style="97" customWidth="1"/>
    <col min="10492" max="10492" width="7.8984375" style="97" customWidth="1"/>
    <col min="10493" max="10493" width="23.59765625" style="97" customWidth="1"/>
    <col min="10494" max="10495" width="14.3984375" style="97" customWidth="1"/>
    <col min="10496" max="10496" width="12" style="97"/>
    <col min="10497" max="10497" width="4.19921875" style="97" customWidth="1"/>
    <col min="10498" max="10498" width="16.09765625" style="97" customWidth="1"/>
    <col min="10499" max="10499" width="10.09765625" style="97" customWidth="1"/>
    <col min="10500" max="10500" width="8.09765625" style="97" customWidth="1"/>
    <col min="10501" max="10501" width="7.69921875" style="97" customWidth="1"/>
    <col min="10502" max="10502" width="8.09765625" style="97" customWidth="1"/>
    <col min="10503" max="10503" width="7.3984375" style="97" customWidth="1"/>
    <col min="10504" max="10505" width="7.59765625" style="97" customWidth="1"/>
    <col min="10506" max="10506" width="6.59765625" style="97" customWidth="1"/>
    <col min="10507" max="10507" width="7.59765625" style="97" customWidth="1"/>
    <col min="10508" max="10508" width="5.09765625" style="97" customWidth="1"/>
    <col min="10509" max="10509" width="5.19921875" style="97" customWidth="1"/>
    <col min="10510" max="10510" width="6.59765625" style="97" customWidth="1"/>
    <col min="10511" max="10511" width="5.19921875" style="97" customWidth="1"/>
    <col min="10512" max="10512" width="6.59765625" style="97" customWidth="1"/>
    <col min="10513" max="10518" width="7.59765625" style="97" customWidth="1"/>
    <col min="10519" max="10519" width="6.5" style="97" customWidth="1"/>
    <col min="10520" max="10520" width="7.19921875" style="97" customWidth="1"/>
    <col min="10521" max="10521" width="8.19921875" style="97" customWidth="1"/>
    <col min="10522" max="10522" width="8.09765625" style="97" customWidth="1"/>
    <col min="10523" max="10524" width="5.19921875" style="97" customWidth="1"/>
    <col min="10525" max="10525" width="7.69921875" style="97" customWidth="1"/>
    <col min="10526" max="10529" width="9.69921875" style="97" customWidth="1"/>
    <col min="10530" max="10532" width="8.59765625" style="97" customWidth="1"/>
    <col min="10533" max="10533" width="10.8984375" style="97" customWidth="1"/>
    <col min="10534" max="10535" width="8.59765625" style="97" customWidth="1"/>
    <col min="10536" max="10536" width="10.59765625" style="97" customWidth="1"/>
    <col min="10537" max="10747" width="8.59765625" style="97" customWidth="1"/>
    <col min="10748" max="10748" width="7.8984375" style="97" customWidth="1"/>
    <col min="10749" max="10749" width="23.59765625" style="97" customWidth="1"/>
    <col min="10750" max="10751" width="14.3984375" style="97" customWidth="1"/>
    <col min="10752" max="10752" width="12" style="97"/>
    <col min="10753" max="10753" width="4.19921875" style="97" customWidth="1"/>
    <col min="10754" max="10754" width="16.09765625" style="97" customWidth="1"/>
    <col min="10755" max="10755" width="10.09765625" style="97" customWidth="1"/>
    <col min="10756" max="10756" width="8.09765625" style="97" customWidth="1"/>
    <col min="10757" max="10757" width="7.69921875" style="97" customWidth="1"/>
    <col min="10758" max="10758" width="8.09765625" style="97" customWidth="1"/>
    <col min="10759" max="10759" width="7.3984375" style="97" customWidth="1"/>
    <col min="10760" max="10761" width="7.59765625" style="97" customWidth="1"/>
    <col min="10762" max="10762" width="6.59765625" style="97" customWidth="1"/>
    <col min="10763" max="10763" width="7.59765625" style="97" customWidth="1"/>
    <col min="10764" max="10764" width="5.09765625" style="97" customWidth="1"/>
    <col min="10765" max="10765" width="5.19921875" style="97" customWidth="1"/>
    <col min="10766" max="10766" width="6.59765625" style="97" customWidth="1"/>
    <col min="10767" max="10767" width="5.19921875" style="97" customWidth="1"/>
    <col min="10768" max="10768" width="6.59765625" style="97" customWidth="1"/>
    <col min="10769" max="10774" width="7.59765625" style="97" customWidth="1"/>
    <col min="10775" max="10775" width="6.5" style="97" customWidth="1"/>
    <col min="10776" max="10776" width="7.19921875" style="97" customWidth="1"/>
    <col min="10777" max="10777" width="8.19921875" style="97" customWidth="1"/>
    <col min="10778" max="10778" width="8.09765625" style="97" customWidth="1"/>
    <col min="10779" max="10780" width="5.19921875" style="97" customWidth="1"/>
    <col min="10781" max="10781" width="7.69921875" style="97" customWidth="1"/>
    <col min="10782" max="10785" width="9.69921875" style="97" customWidth="1"/>
    <col min="10786" max="10788" width="8.59765625" style="97" customWidth="1"/>
    <col min="10789" max="10789" width="10.8984375" style="97" customWidth="1"/>
    <col min="10790" max="10791" width="8.59765625" style="97" customWidth="1"/>
    <col min="10792" max="10792" width="10.59765625" style="97" customWidth="1"/>
    <col min="10793" max="11003" width="8.59765625" style="97" customWidth="1"/>
    <col min="11004" max="11004" width="7.8984375" style="97" customWidth="1"/>
    <col min="11005" max="11005" width="23.59765625" style="97" customWidth="1"/>
    <col min="11006" max="11007" width="14.3984375" style="97" customWidth="1"/>
    <col min="11008" max="11008" width="12" style="97"/>
    <col min="11009" max="11009" width="4.19921875" style="97" customWidth="1"/>
    <col min="11010" max="11010" width="16.09765625" style="97" customWidth="1"/>
    <col min="11011" max="11011" width="10.09765625" style="97" customWidth="1"/>
    <col min="11012" max="11012" width="8.09765625" style="97" customWidth="1"/>
    <col min="11013" max="11013" width="7.69921875" style="97" customWidth="1"/>
    <col min="11014" max="11014" width="8.09765625" style="97" customWidth="1"/>
    <col min="11015" max="11015" width="7.3984375" style="97" customWidth="1"/>
    <col min="11016" max="11017" width="7.59765625" style="97" customWidth="1"/>
    <col min="11018" max="11018" width="6.59765625" style="97" customWidth="1"/>
    <col min="11019" max="11019" width="7.59765625" style="97" customWidth="1"/>
    <col min="11020" max="11020" width="5.09765625" style="97" customWidth="1"/>
    <col min="11021" max="11021" width="5.19921875" style="97" customWidth="1"/>
    <col min="11022" max="11022" width="6.59765625" style="97" customWidth="1"/>
    <col min="11023" max="11023" width="5.19921875" style="97" customWidth="1"/>
    <col min="11024" max="11024" width="6.59765625" style="97" customWidth="1"/>
    <col min="11025" max="11030" width="7.59765625" style="97" customWidth="1"/>
    <col min="11031" max="11031" width="6.5" style="97" customWidth="1"/>
    <col min="11032" max="11032" width="7.19921875" style="97" customWidth="1"/>
    <col min="11033" max="11033" width="8.19921875" style="97" customWidth="1"/>
    <col min="11034" max="11034" width="8.09765625" style="97" customWidth="1"/>
    <col min="11035" max="11036" width="5.19921875" style="97" customWidth="1"/>
    <col min="11037" max="11037" width="7.69921875" style="97" customWidth="1"/>
    <col min="11038" max="11041" width="9.69921875" style="97" customWidth="1"/>
    <col min="11042" max="11044" width="8.59765625" style="97" customWidth="1"/>
    <col min="11045" max="11045" width="10.8984375" style="97" customWidth="1"/>
    <col min="11046" max="11047" width="8.59765625" style="97" customWidth="1"/>
    <col min="11048" max="11048" width="10.59765625" style="97" customWidth="1"/>
    <col min="11049" max="11259" width="8.59765625" style="97" customWidth="1"/>
    <col min="11260" max="11260" width="7.8984375" style="97" customWidth="1"/>
    <col min="11261" max="11261" width="23.59765625" style="97" customWidth="1"/>
    <col min="11262" max="11263" width="14.3984375" style="97" customWidth="1"/>
    <col min="11264" max="11264" width="12" style="97"/>
    <col min="11265" max="11265" width="4.19921875" style="97" customWidth="1"/>
    <col min="11266" max="11266" width="16.09765625" style="97" customWidth="1"/>
    <col min="11267" max="11267" width="10.09765625" style="97" customWidth="1"/>
    <col min="11268" max="11268" width="8.09765625" style="97" customWidth="1"/>
    <col min="11269" max="11269" width="7.69921875" style="97" customWidth="1"/>
    <col min="11270" max="11270" width="8.09765625" style="97" customWidth="1"/>
    <col min="11271" max="11271" width="7.3984375" style="97" customWidth="1"/>
    <col min="11272" max="11273" width="7.59765625" style="97" customWidth="1"/>
    <col min="11274" max="11274" width="6.59765625" style="97" customWidth="1"/>
    <col min="11275" max="11275" width="7.59765625" style="97" customWidth="1"/>
    <col min="11276" max="11276" width="5.09765625" style="97" customWidth="1"/>
    <col min="11277" max="11277" width="5.19921875" style="97" customWidth="1"/>
    <col min="11278" max="11278" width="6.59765625" style="97" customWidth="1"/>
    <col min="11279" max="11279" width="5.19921875" style="97" customWidth="1"/>
    <col min="11280" max="11280" width="6.59765625" style="97" customWidth="1"/>
    <col min="11281" max="11286" width="7.59765625" style="97" customWidth="1"/>
    <col min="11287" max="11287" width="6.5" style="97" customWidth="1"/>
    <col min="11288" max="11288" width="7.19921875" style="97" customWidth="1"/>
    <col min="11289" max="11289" width="8.19921875" style="97" customWidth="1"/>
    <col min="11290" max="11290" width="8.09765625" style="97" customWidth="1"/>
    <col min="11291" max="11292" width="5.19921875" style="97" customWidth="1"/>
    <col min="11293" max="11293" width="7.69921875" style="97" customWidth="1"/>
    <col min="11294" max="11297" width="9.69921875" style="97" customWidth="1"/>
    <col min="11298" max="11300" width="8.59765625" style="97" customWidth="1"/>
    <col min="11301" max="11301" width="10.8984375" style="97" customWidth="1"/>
    <col min="11302" max="11303" width="8.59765625" style="97" customWidth="1"/>
    <col min="11304" max="11304" width="10.59765625" style="97" customWidth="1"/>
    <col min="11305" max="11515" width="8.59765625" style="97" customWidth="1"/>
    <col min="11516" max="11516" width="7.8984375" style="97" customWidth="1"/>
    <col min="11517" max="11517" width="23.59765625" style="97" customWidth="1"/>
    <col min="11518" max="11519" width="14.3984375" style="97" customWidth="1"/>
    <col min="11520" max="11520" width="12" style="97"/>
    <col min="11521" max="11521" width="4.19921875" style="97" customWidth="1"/>
    <col min="11522" max="11522" width="16.09765625" style="97" customWidth="1"/>
    <col min="11523" max="11523" width="10.09765625" style="97" customWidth="1"/>
    <col min="11524" max="11524" width="8.09765625" style="97" customWidth="1"/>
    <col min="11525" max="11525" width="7.69921875" style="97" customWidth="1"/>
    <col min="11526" max="11526" width="8.09765625" style="97" customWidth="1"/>
    <col min="11527" max="11527" width="7.3984375" style="97" customWidth="1"/>
    <col min="11528" max="11529" width="7.59765625" style="97" customWidth="1"/>
    <col min="11530" max="11530" width="6.59765625" style="97" customWidth="1"/>
    <col min="11531" max="11531" width="7.59765625" style="97" customWidth="1"/>
    <col min="11532" max="11532" width="5.09765625" style="97" customWidth="1"/>
    <col min="11533" max="11533" width="5.19921875" style="97" customWidth="1"/>
    <col min="11534" max="11534" width="6.59765625" style="97" customWidth="1"/>
    <col min="11535" max="11535" width="5.19921875" style="97" customWidth="1"/>
    <col min="11536" max="11536" width="6.59765625" style="97" customWidth="1"/>
    <col min="11537" max="11542" width="7.59765625" style="97" customWidth="1"/>
    <col min="11543" max="11543" width="6.5" style="97" customWidth="1"/>
    <col min="11544" max="11544" width="7.19921875" style="97" customWidth="1"/>
    <col min="11545" max="11545" width="8.19921875" style="97" customWidth="1"/>
    <col min="11546" max="11546" width="8.09765625" style="97" customWidth="1"/>
    <col min="11547" max="11548" width="5.19921875" style="97" customWidth="1"/>
    <col min="11549" max="11549" width="7.69921875" style="97" customWidth="1"/>
    <col min="11550" max="11553" width="9.69921875" style="97" customWidth="1"/>
    <col min="11554" max="11556" width="8.59765625" style="97" customWidth="1"/>
    <col min="11557" max="11557" width="10.8984375" style="97" customWidth="1"/>
    <col min="11558" max="11559" width="8.59765625" style="97" customWidth="1"/>
    <col min="11560" max="11560" width="10.59765625" style="97" customWidth="1"/>
    <col min="11561" max="11771" width="8.59765625" style="97" customWidth="1"/>
    <col min="11772" max="11772" width="7.8984375" style="97" customWidth="1"/>
    <col min="11773" max="11773" width="23.59765625" style="97" customWidth="1"/>
    <col min="11774" max="11775" width="14.3984375" style="97" customWidth="1"/>
    <col min="11776" max="11776" width="12" style="97"/>
    <col min="11777" max="11777" width="4.19921875" style="97" customWidth="1"/>
    <col min="11778" max="11778" width="16.09765625" style="97" customWidth="1"/>
    <col min="11779" max="11779" width="10.09765625" style="97" customWidth="1"/>
    <col min="11780" max="11780" width="8.09765625" style="97" customWidth="1"/>
    <col min="11781" max="11781" width="7.69921875" style="97" customWidth="1"/>
    <col min="11782" max="11782" width="8.09765625" style="97" customWidth="1"/>
    <col min="11783" max="11783" width="7.3984375" style="97" customWidth="1"/>
    <col min="11784" max="11785" width="7.59765625" style="97" customWidth="1"/>
    <col min="11786" max="11786" width="6.59765625" style="97" customWidth="1"/>
    <col min="11787" max="11787" width="7.59765625" style="97" customWidth="1"/>
    <col min="11788" max="11788" width="5.09765625" style="97" customWidth="1"/>
    <col min="11789" max="11789" width="5.19921875" style="97" customWidth="1"/>
    <col min="11790" max="11790" width="6.59765625" style="97" customWidth="1"/>
    <col min="11791" max="11791" width="5.19921875" style="97" customWidth="1"/>
    <col min="11792" max="11792" width="6.59765625" style="97" customWidth="1"/>
    <col min="11793" max="11798" width="7.59765625" style="97" customWidth="1"/>
    <col min="11799" max="11799" width="6.5" style="97" customWidth="1"/>
    <col min="11800" max="11800" width="7.19921875" style="97" customWidth="1"/>
    <col min="11801" max="11801" width="8.19921875" style="97" customWidth="1"/>
    <col min="11802" max="11802" width="8.09765625" style="97" customWidth="1"/>
    <col min="11803" max="11804" width="5.19921875" style="97" customWidth="1"/>
    <col min="11805" max="11805" width="7.69921875" style="97" customWidth="1"/>
    <col min="11806" max="11809" width="9.69921875" style="97" customWidth="1"/>
    <col min="11810" max="11812" width="8.59765625" style="97" customWidth="1"/>
    <col min="11813" max="11813" width="10.8984375" style="97" customWidth="1"/>
    <col min="11814" max="11815" width="8.59765625" style="97" customWidth="1"/>
    <col min="11816" max="11816" width="10.59765625" style="97" customWidth="1"/>
    <col min="11817" max="12027" width="8.59765625" style="97" customWidth="1"/>
    <col min="12028" max="12028" width="7.8984375" style="97" customWidth="1"/>
    <col min="12029" max="12029" width="23.59765625" style="97" customWidth="1"/>
    <col min="12030" max="12031" width="14.3984375" style="97" customWidth="1"/>
    <col min="12032" max="12032" width="12" style="97"/>
    <col min="12033" max="12033" width="4.19921875" style="97" customWidth="1"/>
    <col min="12034" max="12034" width="16.09765625" style="97" customWidth="1"/>
    <col min="12035" max="12035" width="10.09765625" style="97" customWidth="1"/>
    <col min="12036" max="12036" width="8.09765625" style="97" customWidth="1"/>
    <col min="12037" max="12037" width="7.69921875" style="97" customWidth="1"/>
    <col min="12038" max="12038" width="8.09765625" style="97" customWidth="1"/>
    <col min="12039" max="12039" width="7.3984375" style="97" customWidth="1"/>
    <col min="12040" max="12041" width="7.59765625" style="97" customWidth="1"/>
    <col min="12042" max="12042" width="6.59765625" style="97" customWidth="1"/>
    <col min="12043" max="12043" width="7.59765625" style="97" customWidth="1"/>
    <col min="12044" max="12044" width="5.09765625" style="97" customWidth="1"/>
    <col min="12045" max="12045" width="5.19921875" style="97" customWidth="1"/>
    <col min="12046" max="12046" width="6.59765625" style="97" customWidth="1"/>
    <col min="12047" max="12047" width="5.19921875" style="97" customWidth="1"/>
    <col min="12048" max="12048" width="6.59765625" style="97" customWidth="1"/>
    <col min="12049" max="12054" width="7.59765625" style="97" customWidth="1"/>
    <col min="12055" max="12055" width="6.5" style="97" customWidth="1"/>
    <col min="12056" max="12056" width="7.19921875" style="97" customWidth="1"/>
    <col min="12057" max="12057" width="8.19921875" style="97" customWidth="1"/>
    <col min="12058" max="12058" width="8.09765625" style="97" customWidth="1"/>
    <col min="12059" max="12060" width="5.19921875" style="97" customWidth="1"/>
    <col min="12061" max="12061" width="7.69921875" style="97" customWidth="1"/>
    <col min="12062" max="12065" width="9.69921875" style="97" customWidth="1"/>
    <col min="12066" max="12068" width="8.59765625" style="97" customWidth="1"/>
    <col min="12069" max="12069" width="10.8984375" style="97" customWidth="1"/>
    <col min="12070" max="12071" width="8.59765625" style="97" customWidth="1"/>
    <col min="12072" max="12072" width="10.59765625" style="97" customWidth="1"/>
    <col min="12073" max="12283" width="8.59765625" style="97" customWidth="1"/>
    <col min="12284" max="12284" width="7.8984375" style="97" customWidth="1"/>
    <col min="12285" max="12285" width="23.59765625" style="97" customWidth="1"/>
    <col min="12286" max="12287" width="14.3984375" style="97" customWidth="1"/>
    <col min="12288" max="12288" width="12" style="97"/>
    <col min="12289" max="12289" width="4.19921875" style="97" customWidth="1"/>
    <col min="12290" max="12290" width="16.09765625" style="97" customWidth="1"/>
    <col min="12291" max="12291" width="10.09765625" style="97" customWidth="1"/>
    <col min="12292" max="12292" width="8.09765625" style="97" customWidth="1"/>
    <col min="12293" max="12293" width="7.69921875" style="97" customWidth="1"/>
    <col min="12294" max="12294" width="8.09765625" style="97" customWidth="1"/>
    <col min="12295" max="12295" width="7.3984375" style="97" customWidth="1"/>
    <col min="12296" max="12297" width="7.59765625" style="97" customWidth="1"/>
    <col min="12298" max="12298" width="6.59765625" style="97" customWidth="1"/>
    <col min="12299" max="12299" width="7.59765625" style="97" customWidth="1"/>
    <col min="12300" max="12300" width="5.09765625" style="97" customWidth="1"/>
    <col min="12301" max="12301" width="5.19921875" style="97" customWidth="1"/>
    <col min="12302" max="12302" width="6.59765625" style="97" customWidth="1"/>
    <col min="12303" max="12303" width="5.19921875" style="97" customWidth="1"/>
    <col min="12304" max="12304" width="6.59765625" style="97" customWidth="1"/>
    <col min="12305" max="12310" width="7.59765625" style="97" customWidth="1"/>
    <col min="12311" max="12311" width="6.5" style="97" customWidth="1"/>
    <col min="12312" max="12312" width="7.19921875" style="97" customWidth="1"/>
    <col min="12313" max="12313" width="8.19921875" style="97" customWidth="1"/>
    <col min="12314" max="12314" width="8.09765625" style="97" customWidth="1"/>
    <col min="12315" max="12316" width="5.19921875" style="97" customWidth="1"/>
    <col min="12317" max="12317" width="7.69921875" style="97" customWidth="1"/>
    <col min="12318" max="12321" width="9.69921875" style="97" customWidth="1"/>
    <col min="12322" max="12324" width="8.59765625" style="97" customWidth="1"/>
    <col min="12325" max="12325" width="10.8984375" style="97" customWidth="1"/>
    <col min="12326" max="12327" width="8.59765625" style="97" customWidth="1"/>
    <col min="12328" max="12328" width="10.59765625" style="97" customWidth="1"/>
    <col min="12329" max="12539" width="8.59765625" style="97" customWidth="1"/>
    <col min="12540" max="12540" width="7.8984375" style="97" customWidth="1"/>
    <col min="12541" max="12541" width="23.59765625" style="97" customWidth="1"/>
    <col min="12542" max="12543" width="14.3984375" style="97" customWidth="1"/>
    <col min="12544" max="12544" width="12" style="97"/>
    <col min="12545" max="12545" width="4.19921875" style="97" customWidth="1"/>
    <col min="12546" max="12546" width="16.09765625" style="97" customWidth="1"/>
    <col min="12547" max="12547" width="10.09765625" style="97" customWidth="1"/>
    <col min="12548" max="12548" width="8.09765625" style="97" customWidth="1"/>
    <col min="12549" max="12549" width="7.69921875" style="97" customWidth="1"/>
    <col min="12550" max="12550" width="8.09765625" style="97" customWidth="1"/>
    <col min="12551" max="12551" width="7.3984375" style="97" customWidth="1"/>
    <col min="12552" max="12553" width="7.59765625" style="97" customWidth="1"/>
    <col min="12554" max="12554" width="6.59765625" style="97" customWidth="1"/>
    <col min="12555" max="12555" width="7.59765625" style="97" customWidth="1"/>
    <col min="12556" max="12556" width="5.09765625" style="97" customWidth="1"/>
    <col min="12557" max="12557" width="5.19921875" style="97" customWidth="1"/>
    <col min="12558" max="12558" width="6.59765625" style="97" customWidth="1"/>
    <col min="12559" max="12559" width="5.19921875" style="97" customWidth="1"/>
    <col min="12560" max="12560" width="6.59765625" style="97" customWidth="1"/>
    <col min="12561" max="12566" width="7.59765625" style="97" customWidth="1"/>
    <col min="12567" max="12567" width="6.5" style="97" customWidth="1"/>
    <col min="12568" max="12568" width="7.19921875" style="97" customWidth="1"/>
    <col min="12569" max="12569" width="8.19921875" style="97" customWidth="1"/>
    <col min="12570" max="12570" width="8.09765625" style="97" customWidth="1"/>
    <col min="12571" max="12572" width="5.19921875" style="97" customWidth="1"/>
    <col min="12573" max="12573" width="7.69921875" style="97" customWidth="1"/>
    <col min="12574" max="12577" width="9.69921875" style="97" customWidth="1"/>
    <col min="12578" max="12580" width="8.59765625" style="97" customWidth="1"/>
    <col min="12581" max="12581" width="10.8984375" style="97" customWidth="1"/>
    <col min="12582" max="12583" width="8.59765625" style="97" customWidth="1"/>
    <col min="12584" max="12584" width="10.59765625" style="97" customWidth="1"/>
    <col min="12585" max="12795" width="8.59765625" style="97" customWidth="1"/>
    <col min="12796" max="12796" width="7.8984375" style="97" customWidth="1"/>
    <col min="12797" max="12797" width="23.59765625" style="97" customWidth="1"/>
    <col min="12798" max="12799" width="14.3984375" style="97" customWidth="1"/>
    <col min="12800" max="12800" width="12" style="97"/>
    <col min="12801" max="12801" width="4.19921875" style="97" customWidth="1"/>
    <col min="12802" max="12802" width="16.09765625" style="97" customWidth="1"/>
    <col min="12803" max="12803" width="10.09765625" style="97" customWidth="1"/>
    <col min="12804" max="12804" width="8.09765625" style="97" customWidth="1"/>
    <col min="12805" max="12805" width="7.69921875" style="97" customWidth="1"/>
    <col min="12806" max="12806" width="8.09765625" style="97" customWidth="1"/>
    <col min="12807" max="12807" width="7.3984375" style="97" customWidth="1"/>
    <col min="12808" max="12809" width="7.59765625" style="97" customWidth="1"/>
    <col min="12810" max="12810" width="6.59765625" style="97" customWidth="1"/>
    <col min="12811" max="12811" width="7.59765625" style="97" customWidth="1"/>
    <col min="12812" max="12812" width="5.09765625" style="97" customWidth="1"/>
    <col min="12813" max="12813" width="5.19921875" style="97" customWidth="1"/>
    <col min="12814" max="12814" width="6.59765625" style="97" customWidth="1"/>
    <col min="12815" max="12815" width="5.19921875" style="97" customWidth="1"/>
    <col min="12816" max="12816" width="6.59765625" style="97" customWidth="1"/>
    <col min="12817" max="12822" width="7.59765625" style="97" customWidth="1"/>
    <col min="12823" max="12823" width="6.5" style="97" customWidth="1"/>
    <col min="12824" max="12824" width="7.19921875" style="97" customWidth="1"/>
    <col min="12825" max="12825" width="8.19921875" style="97" customWidth="1"/>
    <col min="12826" max="12826" width="8.09765625" style="97" customWidth="1"/>
    <col min="12827" max="12828" width="5.19921875" style="97" customWidth="1"/>
    <col min="12829" max="12829" width="7.69921875" style="97" customWidth="1"/>
    <col min="12830" max="12833" width="9.69921875" style="97" customWidth="1"/>
    <col min="12834" max="12836" width="8.59765625" style="97" customWidth="1"/>
    <col min="12837" max="12837" width="10.8984375" style="97" customWidth="1"/>
    <col min="12838" max="12839" width="8.59765625" style="97" customWidth="1"/>
    <col min="12840" max="12840" width="10.59765625" style="97" customWidth="1"/>
    <col min="12841" max="13051" width="8.59765625" style="97" customWidth="1"/>
    <col min="13052" max="13052" width="7.8984375" style="97" customWidth="1"/>
    <col min="13053" max="13053" width="23.59765625" style="97" customWidth="1"/>
    <col min="13054" max="13055" width="14.3984375" style="97" customWidth="1"/>
    <col min="13056" max="13056" width="12" style="97"/>
    <col min="13057" max="13057" width="4.19921875" style="97" customWidth="1"/>
    <col min="13058" max="13058" width="16.09765625" style="97" customWidth="1"/>
    <col min="13059" max="13059" width="10.09765625" style="97" customWidth="1"/>
    <col min="13060" max="13060" width="8.09765625" style="97" customWidth="1"/>
    <col min="13061" max="13061" width="7.69921875" style="97" customWidth="1"/>
    <col min="13062" max="13062" width="8.09765625" style="97" customWidth="1"/>
    <col min="13063" max="13063" width="7.3984375" style="97" customWidth="1"/>
    <col min="13064" max="13065" width="7.59765625" style="97" customWidth="1"/>
    <col min="13066" max="13066" width="6.59765625" style="97" customWidth="1"/>
    <col min="13067" max="13067" width="7.59765625" style="97" customWidth="1"/>
    <col min="13068" max="13068" width="5.09765625" style="97" customWidth="1"/>
    <col min="13069" max="13069" width="5.19921875" style="97" customWidth="1"/>
    <col min="13070" max="13070" width="6.59765625" style="97" customWidth="1"/>
    <col min="13071" max="13071" width="5.19921875" style="97" customWidth="1"/>
    <col min="13072" max="13072" width="6.59765625" style="97" customWidth="1"/>
    <col min="13073" max="13078" width="7.59765625" style="97" customWidth="1"/>
    <col min="13079" max="13079" width="6.5" style="97" customWidth="1"/>
    <col min="13080" max="13080" width="7.19921875" style="97" customWidth="1"/>
    <col min="13081" max="13081" width="8.19921875" style="97" customWidth="1"/>
    <col min="13082" max="13082" width="8.09765625" style="97" customWidth="1"/>
    <col min="13083" max="13084" width="5.19921875" style="97" customWidth="1"/>
    <col min="13085" max="13085" width="7.69921875" style="97" customWidth="1"/>
    <col min="13086" max="13089" width="9.69921875" style="97" customWidth="1"/>
    <col min="13090" max="13092" width="8.59765625" style="97" customWidth="1"/>
    <col min="13093" max="13093" width="10.8984375" style="97" customWidth="1"/>
    <col min="13094" max="13095" width="8.59765625" style="97" customWidth="1"/>
    <col min="13096" max="13096" width="10.59765625" style="97" customWidth="1"/>
    <col min="13097" max="13307" width="8.59765625" style="97" customWidth="1"/>
    <col min="13308" max="13308" width="7.8984375" style="97" customWidth="1"/>
    <col min="13309" max="13309" width="23.59765625" style="97" customWidth="1"/>
    <col min="13310" max="13311" width="14.3984375" style="97" customWidth="1"/>
    <col min="13312" max="13312" width="12" style="97"/>
    <col min="13313" max="13313" width="4.19921875" style="97" customWidth="1"/>
    <col min="13314" max="13314" width="16.09765625" style="97" customWidth="1"/>
    <col min="13315" max="13315" width="10.09765625" style="97" customWidth="1"/>
    <col min="13316" max="13316" width="8.09765625" style="97" customWidth="1"/>
    <col min="13317" max="13317" width="7.69921875" style="97" customWidth="1"/>
    <col min="13318" max="13318" width="8.09765625" style="97" customWidth="1"/>
    <col min="13319" max="13319" width="7.3984375" style="97" customWidth="1"/>
    <col min="13320" max="13321" width="7.59765625" style="97" customWidth="1"/>
    <col min="13322" max="13322" width="6.59765625" style="97" customWidth="1"/>
    <col min="13323" max="13323" width="7.59765625" style="97" customWidth="1"/>
    <col min="13324" max="13324" width="5.09765625" style="97" customWidth="1"/>
    <col min="13325" max="13325" width="5.19921875" style="97" customWidth="1"/>
    <col min="13326" max="13326" width="6.59765625" style="97" customWidth="1"/>
    <col min="13327" max="13327" width="5.19921875" style="97" customWidth="1"/>
    <col min="13328" max="13328" width="6.59765625" style="97" customWidth="1"/>
    <col min="13329" max="13334" width="7.59765625" style="97" customWidth="1"/>
    <col min="13335" max="13335" width="6.5" style="97" customWidth="1"/>
    <col min="13336" max="13336" width="7.19921875" style="97" customWidth="1"/>
    <col min="13337" max="13337" width="8.19921875" style="97" customWidth="1"/>
    <col min="13338" max="13338" width="8.09765625" style="97" customWidth="1"/>
    <col min="13339" max="13340" width="5.19921875" style="97" customWidth="1"/>
    <col min="13341" max="13341" width="7.69921875" style="97" customWidth="1"/>
    <col min="13342" max="13345" width="9.69921875" style="97" customWidth="1"/>
    <col min="13346" max="13348" width="8.59765625" style="97" customWidth="1"/>
    <col min="13349" max="13349" width="10.8984375" style="97" customWidth="1"/>
    <col min="13350" max="13351" width="8.59765625" style="97" customWidth="1"/>
    <col min="13352" max="13352" width="10.59765625" style="97" customWidth="1"/>
    <col min="13353" max="13563" width="8.59765625" style="97" customWidth="1"/>
    <col min="13564" max="13564" width="7.8984375" style="97" customWidth="1"/>
    <col min="13565" max="13565" width="23.59765625" style="97" customWidth="1"/>
    <col min="13566" max="13567" width="14.3984375" style="97" customWidth="1"/>
    <col min="13568" max="13568" width="12" style="97"/>
    <col min="13569" max="13569" width="4.19921875" style="97" customWidth="1"/>
    <col min="13570" max="13570" width="16.09765625" style="97" customWidth="1"/>
    <col min="13571" max="13571" width="10.09765625" style="97" customWidth="1"/>
    <col min="13572" max="13572" width="8.09765625" style="97" customWidth="1"/>
    <col min="13573" max="13573" width="7.69921875" style="97" customWidth="1"/>
    <col min="13574" max="13574" width="8.09765625" style="97" customWidth="1"/>
    <col min="13575" max="13575" width="7.3984375" style="97" customWidth="1"/>
    <col min="13576" max="13577" width="7.59765625" style="97" customWidth="1"/>
    <col min="13578" max="13578" width="6.59765625" style="97" customWidth="1"/>
    <col min="13579" max="13579" width="7.59765625" style="97" customWidth="1"/>
    <col min="13580" max="13580" width="5.09765625" style="97" customWidth="1"/>
    <col min="13581" max="13581" width="5.19921875" style="97" customWidth="1"/>
    <col min="13582" max="13582" width="6.59765625" style="97" customWidth="1"/>
    <col min="13583" max="13583" width="5.19921875" style="97" customWidth="1"/>
    <col min="13584" max="13584" width="6.59765625" style="97" customWidth="1"/>
    <col min="13585" max="13590" width="7.59765625" style="97" customWidth="1"/>
    <col min="13591" max="13591" width="6.5" style="97" customWidth="1"/>
    <col min="13592" max="13592" width="7.19921875" style="97" customWidth="1"/>
    <col min="13593" max="13593" width="8.19921875" style="97" customWidth="1"/>
    <col min="13594" max="13594" width="8.09765625" style="97" customWidth="1"/>
    <col min="13595" max="13596" width="5.19921875" style="97" customWidth="1"/>
    <col min="13597" max="13597" width="7.69921875" style="97" customWidth="1"/>
    <col min="13598" max="13601" width="9.69921875" style="97" customWidth="1"/>
    <col min="13602" max="13604" width="8.59765625" style="97" customWidth="1"/>
    <col min="13605" max="13605" width="10.8984375" style="97" customWidth="1"/>
    <col min="13606" max="13607" width="8.59765625" style="97" customWidth="1"/>
    <col min="13608" max="13608" width="10.59765625" style="97" customWidth="1"/>
    <col min="13609" max="13819" width="8.59765625" style="97" customWidth="1"/>
    <col min="13820" max="13820" width="7.8984375" style="97" customWidth="1"/>
    <col min="13821" max="13821" width="23.59765625" style="97" customWidth="1"/>
    <col min="13822" max="13823" width="14.3984375" style="97" customWidth="1"/>
    <col min="13824" max="13824" width="12" style="97"/>
    <col min="13825" max="13825" width="4.19921875" style="97" customWidth="1"/>
    <col min="13826" max="13826" width="16.09765625" style="97" customWidth="1"/>
    <col min="13827" max="13827" width="10.09765625" style="97" customWidth="1"/>
    <col min="13828" max="13828" width="8.09765625" style="97" customWidth="1"/>
    <col min="13829" max="13829" width="7.69921875" style="97" customWidth="1"/>
    <col min="13830" max="13830" width="8.09765625" style="97" customWidth="1"/>
    <col min="13831" max="13831" width="7.3984375" style="97" customWidth="1"/>
    <col min="13832" max="13833" width="7.59765625" style="97" customWidth="1"/>
    <col min="13834" max="13834" width="6.59765625" style="97" customWidth="1"/>
    <col min="13835" max="13835" width="7.59765625" style="97" customWidth="1"/>
    <col min="13836" max="13836" width="5.09765625" style="97" customWidth="1"/>
    <col min="13837" max="13837" width="5.19921875" style="97" customWidth="1"/>
    <col min="13838" max="13838" width="6.59765625" style="97" customWidth="1"/>
    <col min="13839" max="13839" width="5.19921875" style="97" customWidth="1"/>
    <col min="13840" max="13840" width="6.59765625" style="97" customWidth="1"/>
    <col min="13841" max="13846" width="7.59765625" style="97" customWidth="1"/>
    <col min="13847" max="13847" width="6.5" style="97" customWidth="1"/>
    <col min="13848" max="13848" width="7.19921875" style="97" customWidth="1"/>
    <col min="13849" max="13849" width="8.19921875" style="97" customWidth="1"/>
    <col min="13850" max="13850" width="8.09765625" style="97" customWidth="1"/>
    <col min="13851" max="13852" width="5.19921875" style="97" customWidth="1"/>
    <col min="13853" max="13853" width="7.69921875" style="97" customWidth="1"/>
    <col min="13854" max="13857" width="9.69921875" style="97" customWidth="1"/>
    <col min="13858" max="13860" width="8.59765625" style="97" customWidth="1"/>
    <col min="13861" max="13861" width="10.8984375" style="97" customWidth="1"/>
    <col min="13862" max="13863" width="8.59765625" style="97" customWidth="1"/>
    <col min="13864" max="13864" width="10.59765625" style="97" customWidth="1"/>
    <col min="13865" max="14075" width="8.59765625" style="97" customWidth="1"/>
    <col min="14076" max="14076" width="7.8984375" style="97" customWidth="1"/>
    <col min="14077" max="14077" width="23.59765625" style="97" customWidth="1"/>
    <col min="14078" max="14079" width="14.3984375" style="97" customWidth="1"/>
    <col min="14080" max="14080" width="12" style="97"/>
    <col min="14081" max="14081" width="4.19921875" style="97" customWidth="1"/>
    <col min="14082" max="14082" width="16.09765625" style="97" customWidth="1"/>
    <col min="14083" max="14083" width="10.09765625" style="97" customWidth="1"/>
    <col min="14084" max="14084" width="8.09765625" style="97" customWidth="1"/>
    <col min="14085" max="14085" width="7.69921875" style="97" customWidth="1"/>
    <col min="14086" max="14086" width="8.09765625" style="97" customWidth="1"/>
    <col min="14087" max="14087" width="7.3984375" style="97" customWidth="1"/>
    <col min="14088" max="14089" width="7.59765625" style="97" customWidth="1"/>
    <col min="14090" max="14090" width="6.59765625" style="97" customWidth="1"/>
    <col min="14091" max="14091" width="7.59765625" style="97" customWidth="1"/>
    <col min="14092" max="14092" width="5.09765625" style="97" customWidth="1"/>
    <col min="14093" max="14093" width="5.19921875" style="97" customWidth="1"/>
    <col min="14094" max="14094" width="6.59765625" style="97" customWidth="1"/>
    <col min="14095" max="14095" width="5.19921875" style="97" customWidth="1"/>
    <col min="14096" max="14096" width="6.59765625" style="97" customWidth="1"/>
    <col min="14097" max="14102" width="7.59765625" style="97" customWidth="1"/>
    <col min="14103" max="14103" width="6.5" style="97" customWidth="1"/>
    <col min="14104" max="14104" width="7.19921875" style="97" customWidth="1"/>
    <col min="14105" max="14105" width="8.19921875" style="97" customWidth="1"/>
    <col min="14106" max="14106" width="8.09765625" style="97" customWidth="1"/>
    <col min="14107" max="14108" width="5.19921875" style="97" customWidth="1"/>
    <col min="14109" max="14109" width="7.69921875" style="97" customWidth="1"/>
    <col min="14110" max="14113" width="9.69921875" style="97" customWidth="1"/>
    <col min="14114" max="14116" width="8.59765625" style="97" customWidth="1"/>
    <col min="14117" max="14117" width="10.8984375" style="97" customWidth="1"/>
    <col min="14118" max="14119" width="8.59765625" style="97" customWidth="1"/>
    <col min="14120" max="14120" width="10.59765625" style="97" customWidth="1"/>
    <col min="14121" max="14331" width="8.59765625" style="97" customWidth="1"/>
    <col min="14332" max="14332" width="7.8984375" style="97" customWidth="1"/>
    <col min="14333" max="14333" width="23.59765625" style="97" customWidth="1"/>
    <col min="14334" max="14335" width="14.3984375" style="97" customWidth="1"/>
    <col min="14336" max="14336" width="12" style="97"/>
    <col min="14337" max="14337" width="4.19921875" style="97" customWidth="1"/>
    <col min="14338" max="14338" width="16.09765625" style="97" customWidth="1"/>
    <col min="14339" max="14339" width="10.09765625" style="97" customWidth="1"/>
    <col min="14340" max="14340" width="8.09765625" style="97" customWidth="1"/>
    <col min="14341" max="14341" width="7.69921875" style="97" customWidth="1"/>
    <col min="14342" max="14342" width="8.09765625" style="97" customWidth="1"/>
    <col min="14343" max="14343" width="7.3984375" style="97" customWidth="1"/>
    <col min="14344" max="14345" width="7.59765625" style="97" customWidth="1"/>
    <col min="14346" max="14346" width="6.59765625" style="97" customWidth="1"/>
    <col min="14347" max="14347" width="7.59765625" style="97" customWidth="1"/>
    <col min="14348" max="14348" width="5.09765625" style="97" customWidth="1"/>
    <col min="14349" max="14349" width="5.19921875" style="97" customWidth="1"/>
    <col min="14350" max="14350" width="6.59765625" style="97" customWidth="1"/>
    <col min="14351" max="14351" width="5.19921875" style="97" customWidth="1"/>
    <col min="14352" max="14352" width="6.59765625" style="97" customWidth="1"/>
    <col min="14353" max="14358" width="7.59765625" style="97" customWidth="1"/>
    <col min="14359" max="14359" width="6.5" style="97" customWidth="1"/>
    <col min="14360" max="14360" width="7.19921875" style="97" customWidth="1"/>
    <col min="14361" max="14361" width="8.19921875" style="97" customWidth="1"/>
    <col min="14362" max="14362" width="8.09765625" style="97" customWidth="1"/>
    <col min="14363" max="14364" width="5.19921875" style="97" customWidth="1"/>
    <col min="14365" max="14365" width="7.69921875" style="97" customWidth="1"/>
    <col min="14366" max="14369" width="9.69921875" style="97" customWidth="1"/>
    <col min="14370" max="14372" width="8.59765625" style="97" customWidth="1"/>
    <col min="14373" max="14373" width="10.8984375" style="97" customWidth="1"/>
    <col min="14374" max="14375" width="8.59765625" style="97" customWidth="1"/>
    <col min="14376" max="14376" width="10.59765625" style="97" customWidth="1"/>
    <col min="14377" max="14587" width="8.59765625" style="97" customWidth="1"/>
    <col min="14588" max="14588" width="7.8984375" style="97" customWidth="1"/>
    <col min="14589" max="14589" width="23.59765625" style="97" customWidth="1"/>
    <col min="14590" max="14591" width="14.3984375" style="97" customWidth="1"/>
    <col min="14592" max="14592" width="12" style="97"/>
    <col min="14593" max="14593" width="4.19921875" style="97" customWidth="1"/>
    <col min="14594" max="14594" width="16.09765625" style="97" customWidth="1"/>
    <col min="14595" max="14595" width="10.09765625" style="97" customWidth="1"/>
    <col min="14596" max="14596" width="8.09765625" style="97" customWidth="1"/>
    <col min="14597" max="14597" width="7.69921875" style="97" customWidth="1"/>
    <col min="14598" max="14598" width="8.09765625" style="97" customWidth="1"/>
    <col min="14599" max="14599" width="7.3984375" style="97" customWidth="1"/>
    <col min="14600" max="14601" width="7.59765625" style="97" customWidth="1"/>
    <col min="14602" max="14602" width="6.59765625" style="97" customWidth="1"/>
    <col min="14603" max="14603" width="7.59765625" style="97" customWidth="1"/>
    <col min="14604" max="14604" width="5.09765625" style="97" customWidth="1"/>
    <col min="14605" max="14605" width="5.19921875" style="97" customWidth="1"/>
    <col min="14606" max="14606" width="6.59765625" style="97" customWidth="1"/>
    <col min="14607" max="14607" width="5.19921875" style="97" customWidth="1"/>
    <col min="14608" max="14608" width="6.59765625" style="97" customWidth="1"/>
    <col min="14609" max="14614" width="7.59765625" style="97" customWidth="1"/>
    <col min="14615" max="14615" width="6.5" style="97" customWidth="1"/>
    <col min="14616" max="14616" width="7.19921875" style="97" customWidth="1"/>
    <col min="14617" max="14617" width="8.19921875" style="97" customWidth="1"/>
    <col min="14618" max="14618" width="8.09765625" style="97" customWidth="1"/>
    <col min="14619" max="14620" width="5.19921875" style="97" customWidth="1"/>
    <col min="14621" max="14621" width="7.69921875" style="97" customWidth="1"/>
    <col min="14622" max="14625" width="9.69921875" style="97" customWidth="1"/>
    <col min="14626" max="14628" width="8.59765625" style="97" customWidth="1"/>
    <col min="14629" max="14629" width="10.8984375" style="97" customWidth="1"/>
    <col min="14630" max="14631" width="8.59765625" style="97" customWidth="1"/>
    <col min="14632" max="14632" width="10.59765625" style="97" customWidth="1"/>
    <col min="14633" max="14843" width="8.59765625" style="97" customWidth="1"/>
    <col min="14844" max="14844" width="7.8984375" style="97" customWidth="1"/>
    <col min="14845" max="14845" width="23.59765625" style="97" customWidth="1"/>
    <col min="14846" max="14847" width="14.3984375" style="97" customWidth="1"/>
    <col min="14848" max="14848" width="12" style="97"/>
    <col min="14849" max="14849" width="4.19921875" style="97" customWidth="1"/>
    <col min="14850" max="14850" width="16.09765625" style="97" customWidth="1"/>
    <col min="14851" max="14851" width="10.09765625" style="97" customWidth="1"/>
    <col min="14852" max="14852" width="8.09765625" style="97" customWidth="1"/>
    <col min="14853" max="14853" width="7.69921875" style="97" customWidth="1"/>
    <col min="14854" max="14854" width="8.09765625" style="97" customWidth="1"/>
    <col min="14855" max="14855" width="7.3984375" style="97" customWidth="1"/>
    <col min="14856" max="14857" width="7.59765625" style="97" customWidth="1"/>
    <col min="14858" max="14858" width="6.59765625" style="97" customWidth="1"/>
    <col min="14859" max="14859" width="7.59765625" style="97" customWidth="1"/>
    <col min="14860" max="14860" width="5.09765625" style="97" customWidth="1"/>
    <col min="14861" max="14861" width="5.19921875" style="97" customWidth="1"/>
    <col min="14862" max="14862" width="6.59765625" style="97" customWidth="1"/>
    <col min="14863" max="14863" width="5.19921875" style="97" customWidth="1"/>
    <col min="14864" max="14864" width="6.59765625" style="97" customWidth="1"/>
    <col min="14865" max="14870" width="7.59765625" style="97" customWidth="1"/>
    <col min="14871" max="14871" width="6.5" style="97" customWidth="1"/>
    <col min="14872" max="14872" width="7.19921875" style="97" customWidth="1"/>
    <col min="14873" max="14873" width="8.19921875" style="97" customWidth="1"/>
    <col min="14874" max="14874" width="8.09765625" style="97" customWidth="1"/>
    <col min="14875" max="14876" width="5.19921875" style="97" customWidth="1"/>
    <col min="14877" max="14877" width="7.69921875" style="97" customWidth="1"/>
    <col min="14878" max="14881" width="9.69921875" style="97" customWidth="1"/>
    <col min="14882" max="14884" width="8.59765625" style="97" customWidth="1"/>
    <col min="14885" max="14885" width="10.8984375" style="97" customWidth="1"/>
    <col min="14886" max="14887" width="8.59765625" style="97" customWidth="1"/>
    <col min="14888" max="14888" width="10.59765625" style="97" customWidth="1"/>
    <col min="14889" max="15099" width="8.59765625" style="97" customWidth="1"/>
    <col min="15100" max="15100" width="7.8984375" style="97" customWidth="1"/>
    <col min="15101" max="15101" width="23.59765625" style="97" customWidth="1"/>
    <col min="15102" max="15103" width="14.3984375" style="97" customWidth="1"/>
    <col min="15104" max="15104" width="12" style="97"/>
    <col min="15105" max="15105" width="4.19921875" style="97" customWidth="1"/>
    <col min="15106" max="15106" width="16.09765625" style="97" customWidth="1"/>
    <col min="15107" max="15107" width="10.09765625" style="97" customWidth="1"/>
    <col min="15108" max="15108" width="8.09765625" style="97" customWidth="1"/>
    <col min="15109" max="15109" width="7.69921875" style="97" customWidth="1"/>
    <col min="15110" max="15110" width="8.09765625" style="97" customWidth="1"/>
    <col min="15111" max="15111" width="7.3984375" style="97" customWidth="1"/>
    <col min="15112" max="15113" width="7.59765625" style="97" customWidth="1"/>
    <col min="15114" max="15114" width="6.59765625" style="97" customWidth="1"/>
    <col min="15115" max="15115" width="7.59765625" style="97" customWidth="1"/>
    <col min="15116" max="15116" width="5.09765625" style="97" customWidth="1"/>
    <col min="15117" max="15117" width="5.19921875" style="97" customWidth="1"/>
    <col min="15118" max="15118" width="6.59765625" style="97" customWidth="1"/>
    <col min="15119" max="15119" width="5.19921875" style="97" customWidth="1"/>
    <col min="15120" max="15120" width="6.59765625" style="97" customWidth="1"/>
    <col min="15121" max="15126" width="7.59765625" style="97" customWidth="1"/>
    <col min="15127" max="15127" width="6.5" style="97" customWidth="1"/>
    <col min="15128" max="15128" width="7.19921875" style="97" customWidth="1"/>
    <col min="15129" max="15129" width="8.19921875" style="97" customWidth="1"/>
    <col min="15130" max="15130" width="8.09765625" style="97" customWidth="1"/>
    <col min="15131" max="15132" width="5.19921875" style="97" customWidth="1"/>
    <col min="15133" max="15133" width="7.69921875" style="97" customWidth="1"/>
    <col min="15134" max="15137" width="9.69921875" style="97" customWidth="1"/>
    <col min="15138" max="15140" width="8.59765625" style="97" customWidth="1"/>
    <col min="15141" max="15141" width="10.8984375" style="97" customWidth="1"/>
    <col min="15142" max="15143" width="8.59765625" style="97" customWidth="1"/>
    <col min="15144" max="15144" width="10.59765625" style="97" customWidth="1"/>
    <col min="15145" max="15355" width="8.59765625" style="97" customWidth="1"/>
    <col min="15356" max="15356" width="7.8984375" style="97" customWidth="1"/>
    <col min="15357" max="15357" width="23.59765625" style="97" customWidth="1"/>
    <col min="15358" max="15359" width="14.3984375" style="97" customWidth="1"/>
    <col min="15360" max="15360" width="12" style="97"/>
    <col min="15361" max="15361" width="4.19921875" style="97" customWidth="1"/>
    <col min="15362" max="15362" width="16.09765625" style="97" customWidth="1"/>
    <col min="15363" max="15363" width="10.09765625" style="97" customWidth="1"/>
    <col min="15364" max="15364" width="8.09765625" style="97" customWidth="1"/>
    <col min="15365" max="15365" width="7.69921875" style="97" customWidth="1"/>
    <col min="15366" max="15366" width="8.09765625" style="97" customWidth="1"/>
    <col min="15367" max="15367" width="7.3984375" style="97" customWidth="1"/>
    <col min="15368" max="15369" width="7.59765625" style="97" customWidth="1"/>
    <col min="15370" max="15370" width="6.59765625" style="97" customWidth="1"/>
    <col min="15371" max="15371" width="7.59765625" style="97" customWidth="1"/>
    <col min="15372" max="15372" width="5.09765625" style="97" customWidth="1"/>
    <col min="15373" max="15373" width="5.19921875" style="97" customWidth="1"/>
    <col min="15374" max="15374" width="6.59765625" style="97" customWidth="1"/>
    <col min="15375" max="15375" width="5.19921875" style="97" customWidth="1"/>
    <col min="15376" max="15376" width="6.59765625" style="97" customWidth="1"/>
    <col min="15377" max="15382" width="7.59765625" style="97" customWidth="1"/>
    <col min="15383" max="15383" width="6.5" style="97" customWidth="1"/>
    <col min="15384" max="15384" width="7.19921875" style="97" customWidth="1"/>
    <col min="15385" max="15385" width="8.19921875" style="97" customWidth="1"/>
    <col min="15386" max="15386" width="8.09765625" style="97" customWidth="1"/>
    <col min="15387" max="15388" width="5.19921875" style="97" customWidth="1"/>
    <col min="15389" max="15389" width="7.69921875" style="97" customWidth="1"/>
    <col min="15390" max="15393" width="9.69921875" style="97" customWidth="1"/>
    <col min="15394" max="15396" width="8.59765625" style="97" customWidth="1"/>
    <col min="15397" max="15397" width="10.8984375" style="97" customWidth="1"/>
    <col min="15398" max="15399" width="8.59765625" style="97" customWidth="1"/>
    <col min="15400" max="15400" width="10.59765625" style="97" customWidth="1"/>
    <col min="15401" max="15611" width="8.59765625" style="97" customWidth="1"/>
    <col min="15612" max="15612" width="7.8984375" style="97" customWidth="1"/>
    <col min="15613" max="15613" width="23.59765625" style="97" customWidth="1"/>
    <col min="15614" max="15615" width="14.3984375" style="97" customWidth="1"/>
    <col min="15616" max="15616" width="12" style="97"/>
    <col min="15617" max="15617" width="4.19921875" style="97" customWidth="1"/>
    <col min="15618" max="15618" width="16.09765625" style="97" customWidth="1"/>
    <col min="15619" max="15619" width="10.09765625" style="97" customWidth="1"/>
    <col min="15620" max="15620" width="8.09765625" style="97" customWidth="1"/>
    <col min="15621" max="15621" width="7.69921875" style="97" customWidth="1"/>
    <col min="15622" max="15622" width="8.09765625" style="97" customWidth="1"/>
    <col min="15623" max="15623" width="7.3984375" style="97" customWidth="1"/>
    <col min="15624" max="15625" width="7.59765625" style="97" customWidth="1"/>
    <col min="15626" max="15626" width="6.59765625" style="97" customWidth="1"/>
    <col min="15627" max="15627" width="7.59765625" style="97" customWidth="1"/>
    <col min="15628" max="15628" width="5.09765625" style="97" customWidth="1"/>
    <col min="15629" max="15629" width="5.19921875" style="97" customWidth="1"/>
    <col min="15630" max="15630" width="6.59765625" style="97" customWidth="1"/>
    <col min="15631" max="15631" width="5.19921875" style="97" customWidth="1"/>
    <col min="15632" max="15632" width="6.59765625" style="97" customWidth="1"/>
    <col min="15633" max="15638" width="7.59765625" style="97" customWidth="1"/>
    <col min="15639" max="15639" width="6.5" style="97" customWidth="1"/>
    <col min="15640" max="15640" width="7.19921875" style="97" customWidth="1"/>
    <col min="15641" max="15641" width="8.19921875" style="97" customWidth="1"/>
    <col min="15642" max="15642" width="8.09765625" style="97" customWidth="1"/>
    <col min="15643" max="15644" width="5.19921875" style="97" customWidth="1"/>
    <col min="15645" max="15645" width="7.69921875" style="97" customWidth="1"/>
    <col min="15646" max="15649" width="9.69921875" style="97" customWidth="1"/>
    <col min="15650" max="15652" width="8.59765625" style="97" customWidth="1"/>
    <col min="15653" max="15653" width="10.8984375" style="97" customWidth="1"/>
    <col min="15654" max="15655" width="8.59765625" style="97" customWidth="1"/>
    <col min="15656" max="15656" width="10.59765625" style="97" customWidth="1"/>
    <col min="15657" max="15867" width="8.59765625" style="97" customWidth="1"/>
    <col min="15868" max="15868" width="7.8984375" style="97" customWidth="1"/>
    <col min="15869" max="15869" width="23.59765625" style="97" customWidth="1"/>
    <col min="15870" max="15871" width="14.3984375" style="97" customWidth="1"/>
    <col min="15872" max="15872" width="12" style="97"/>
    <col min="15873" max="15873" width="4.19921875" style="97" customWidth="1"/>
    <col min="15874" max="15874" width="16.09765625" style="97" customWidth="1"/>
    <col min="15875" max="15875" width="10.09765625" style="97" customWidth="1"/>
    <col min="15876" max="15876" width="8.09765625" style="97" customWidth="1"/>
    <col min="15877" max="15877" width="7.69921875" style="97" customWidth="1"/>
    <col min="15878" max="15878" width="8.09765625" style="97" customWidth="1"/>
    <col min="15879" max="15879" width="7.3984375" style="97" customWidth="1"/>
    <col min="15880" max="15881" width="7.59765625" style="97" customWidth="1"/>
    <col min="15882" max="15882" width="6.59765625" style="97" customWidth="1"/>
    <col min="15883" max="15883" width="7.59765625" style="97" customWidth="1"/>
    <col min="15884" max="15884" width="5.09765625" style="97" customWidth="1"/>
    <col min="15885" max="15885" width="5.19921875" style="97" customWidth="1"/>
    <col min="15886" max="15886" width="6.59765625" style="97" customWidth="1"/>
    <col min="15887" max="15887" width="5.19921875" style="97" customWidth="1"/>
    <col min="15888" max="15888" width="6.59765625" style="97" customWidth="1"/>
    <col min="15889" max="15894" width="7.59765625" style="97" customWidth="1"/>
    <col min="15895" max="15895" width="6.5" style="97" customWidth="1"/>
    <col min="15896" max="15896" width="7.19921875" style="97" customWidth="1"/>
    <col min="15897" max="15897" width="8.19921875" style="97" customWidth="1"/>
    <col min="15898" max="15898" width="8.09765625" style="97" customWidth="1"/>
    <col min="15899" max="15900" width="5.19921875" style="97" customWidth="1"/>
    <col min="15901" max="15901" width="7.69921875" style="97" customWidth="1"/>
    <col min="15902" max="15905" width="9.69921875" style="97" customWidth="1"/>
    <col min="15906" max="15908" width="8.59765625" style="97" customWidth="1"/>
    <col min="15909" max="15909" width="10.8984375" style="97" customWidth="1"/>
    <col min="15910" max="15911" width="8.59765625" style="97" customWidth="1"/>
    <col min="15912" max="15912" width="10.59765625" style="97" customWidth="1"/>
    <col min="15913" max="16123" width="8.59765625" style="97" customWidth="1"/>
    <col min="16124" max="16124" width="7.8984375" style="97" customWidth="1"/>
    <col min="16125" max="16125" width="23.59765625" style="97" customWidth="1"/>
    <col min="16126" max="16127" width="14.3984375" style="97" customWidth="1"/>
    <col min="16128" max="16128" width="12" style="97"/>
    <col min="16129" max="16129" width="4.19921875" style="97" customWidth="1"/>
    <col min="16130" max="16130" width="16.09765625" style="97" customWidth="1"/>
    <col min="16131" max="16131" width="10.09765625" style="97" customWidth="1"/>
    <col min="16132" max="16132" width="8.09765625" style="97" customWidth="1"/>
    <col min="16133" max="16133" width="7.69921875" style="97" customWidth="1"/>
    <col min="16134" max="16134" width="8.09765625" style="97" customWidth="1"/>
    <col min="16135" max="16135" width="7.3984375" style="97" customWidth="1"/>
    <col min="16136" max="16137" width="7.59765625" style="97" customWidth="1"/>
    <col min="16138" max="16138" width="6.59765625" style="97" customWidth="1"/>
    <col min="16139" max="16139" width="7.59765625" style="97" customWidth="1"/>
    <col min="16140" max="16140" width="5.09765625" style="97" customWidth="1"/>
    <col min="16141" max="16141" width="5.19921875" style="97" customWidth="1"/>
    <col min="16142" max="16142" width="6.59765625" style="97" customWidth="1"/>
    <col min="16143" max="16143" width="5.19921875" style="97" customWidth="1"/>
    <col min="16144" max="16144" width="6.59765625" style="97" customWidth="1"/>
    <col min="16145" max="16150" width="7.59765625" style="97" customWidth="1"/>
    <col min="16151" max="16151" width="6.5" style="97" customWidth="1"/>
    <col min="16152" max="16152" width="7.19921875" style="97" customWidth="1"/>
    <col min="16153" max="16153" width="8.19921875" style="97" customWidth="1"/>
    <col min="16154" max="16154" width="8.09765625" style="97" customWidth="1"/>
    <col min="16155" max="16156" width="5.19921875" style="97" customWidth="1"/>
    <col min="16157" max="16157" width="7.69921875" style="97" customWidth="1"/>
    <col min="16158" max="16161" width="9.69921875" style="97" customWidth="1"/>
    <col min="16162" max="16164" width="8.59765625" style="97" customWidth="1"/>
    <col min="16165" max="16165" width="10.8984375" style="97" customWidth="1"/>
    <col min="16166" max="16167" width="8.59765625" style="97" customWidth="1"/>
    <col min="16168" max="16168" width="10.59765625" style="97" customWidth="1"/>
    <col min="16169" max="16379" width="8.59765625" style="97" customWidth="1"/>
    <col min="16380" max="16380" width="7.8984375" style="97" customWidth="1"/>
    <col min="16381" max="16381" width="23.59765625" style="97" customWidth="1"/>
    <col min="16382" max="16383" width="14.3984375" style="97" customWidth="1"/>
    <col min="16384" max="16384" width="12" style="97"/>
  </cols>
  <sheetData>
    <row r="1" spans="1:33" x14ac:dyDescent="0.3">
      <c r="A1" s="530" t="s">
        <v>192</v>
      </c>
      <c r="B1" s="530"/>
      <c r="AG1" s="224" t="s">
        <v>240</v>
      </c>
    </row>
    <row r="2" spans="1:33" x14ac:dyDescent="0.3">
      <c r="A2" s="533" t="s">
        <v>206</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row>
    <row r="3" spans="1:33" x14ac:dyDescent="0.3">
      <c r="A3" s="539"/>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39"/>
    </row>
    <row r="4" spans="1:33" x14ac:dyDescent="0.3">
      <c r="A4" s="197"/>
      <c r="B4" s="197"/>
      <c r="C4" s="197"/>
      <c r="D4" s="197"/>
      <c r="E4" s="197"/>
      <c r="F4" s="197"/>
      <c r="G4" s="197"/>
      <c r="H4" s="197"/>
      <c r="I4" s="197"/>
      <c r="J4" s="197"/>
      <c r="K4" s="197"/>
      <c r="L4" s="197"/>
      <c r="M4" s="197"/>
      <c r="N4" s="197"/>
      <c r="O4" s="197"/>
      <c r="P4" s="197"/>
      <c r="Q4" s="197"/>
      <c r="R4" s="197"/>
      <c r="S4" s="197"/>
      <c r="T4" s="197"/>
      <c r="U4" s="197"/>
      <c r="V4" s="197"/>
      <c r="W4" s="197"/>
      <c r="X4" s="197"/>
      <c r="Y4" s="197"/>
      <c r="AA4" s="197"/>
      <c r="AB4" s="197"/>
      <c r="AC4" s="197"/>
      <c r="AD4" s="197"/>
      <c r="AE4" s="225"/>
      <c r="AF4" s="197"/>
      <c r="AG4" s="226" t="s">
        <v>0</v>
      </c>
    </row>
    <row r="5" spans="1:33" s="98" customFormat="1" ht="13.2" x14ac:dyDescent="0.25">
      <c r="A5" s="534" t="s">
        <v>1</v>
      </c>
      <c r="B5" s="534" t="s">
        <v>207</v>
      </c>
      <c r="C5" s="541" t="s">
        <v>14</v>
      </c>
      <c r="D5" s="541"/>
      <c r="E5" s="541"/>
      <c r="F5" s="541"/>
      <c r="G5" s="534" t="s">
        <v>208</v>
      </c>
      <c r="H5" s="534" t="s">
        <v>15</v>
      </c>
      <c r="I5" s="534"/>
      <c r="J5" s="534"/>
      <c r="K5" s="534"/>
      <c r="L5" s="534"/>
      <c r="M5" s="534"/>
      <c r="N5" s="534" t="s">
        <v>25</v>
      </c>
      <c r="O5" s="534"/>
      <c r="P5" s="534"/>
      <c r="Q5" s="534" t="s">
        <v>209</v>
      </c>
      <c r="R5" s="534"/>
      <c r="S5" s="534"/>
      <c r="T5" s="534" t="s">
        <v>29</v>
      </c>
      <c r="U5" s="534"/>
      <c r="V5" s="542"/>
      <c r="W5" s="534" t="s">
        <v>30</v>
      </c>
      <c r="X5" s="534"/>
      <c r="Y5" s="538" t="s">
        <v>330</v>
      </c>
      <c r="Z5" s="534" t="s">
        <v>36</v>
      </c>
      <c r="AA5" s="534"/>
      <c r="AB5" s="534"/>
      <c r="AC5" s="534" t="s">
        <v>38</v>
      </c>
      <c r="AD5" s="534" t="s">
        <v>34</v>
      </c>
      <c r="AE5" s="534"/>
      <c r="AF5" s="534"/>
      <c r="AG5" s="534"/>
    </row>
    <row r="6" spans="1:33" s="99" customFormat="1" ht="13.2" x14ac:dyDescent="0.25">
      <c r="A6" s="535"/>
      <c r="B6" s="535"/>
      <c r="C6" s="534" t="s">
        <v>7</v>
      </c>
      <c r="D6" s="534" t="s">
        <v>158</v>
      </c>
      <c r="E6" s="534"/>
      <c r="F6" s="534"/>
      <c r="G6" s="537"/>
      <c r="H6" s="534"/>
      <c r="I6" s="534"/>
      <c r="J6" s="534"/>
      <c r="K6" s="534"/>
      <c r="L6" s="534"/>
      <c r="M6" s="534"/>
      <c r="N6" s="534"/>
      <c r="O6" s="534"/>
      <c r="P6" s="534"/>
      <c r="Q6" s="534"/>
      <c r="R6" s="534"/>
      <c r="S6" s="534"/>
      <c r="T6" s="534"/>
      <c r="U6" s="534"/>
      <c r="V6" s="542"/>
      <c r="W6" s="534"/>
      <c r="X6" s="534"/>
      <c r="Y6" s="538"/>
      <c r="Z6" s="534"/>
      <c r="AA6" s="534"/>
      <c r="AB6" s="534"/>
      <c r="AC6" s="534"/>
      <c r="AD6" s="534"/>
      <c r="AE6" s="534"/>
      <c r="AF6" s="534"/>
      <c r="AG6" s="534"/>
    </row>
    <row r="7" spans="1:33" s="99" customFormat="1" ht="13.2" x14ac:dyDescent="0.25">
      <c r="A7" s="535"/>
      <c r="B7" s="535"/>
      <c r="C7" s="534"/>
      <c r="D7" s="534" t="s">
        <v>327</v>
      </c>
      <c r="E7" s="534" t="s">
        <v>214</v>
      </c>
      <c r="F7" s="534" t="s">
        <v>215</v>
      </c>
      <c r="G7" s="537"/>
      <c r="H7" s="534" t="s">
        <v>7</v>
      </c>
      <c r="I7" s="534" t="s">
        <v>20</v>
      </c>
      <c r="J7" s="534"/>
      <c r="K7" s="534"/>
      <c r="L7" s="534" t="s">
        <v>216</v>
      </c>
      <c r="M7" s="534" t="s">
        <v>216</v>
      </c>
      <c r="N7" s="534" t="s">
        <v>7</v>
      </c>
      <c r="O7" s="534" t="s">
        <v>158</v>
      </c>
      <c r="P7" s="534"/>
      <c r="Q7" s="534" t="s">
        <v>7</v>
      </c>
      <c r="R7" s="534" t="s">
        <v>158</v>
      </c>
      <c r="S7" s="534"/>
      <c r="T7" s="534" t="s">
        <v>7</v>
      </c>
      <c r="U7" s="534" t="s">
        <v>158</v>
      </c>
      <c r="V7" s="534"/>
      <c r="W7" s="534" t="s">
        <v>210</v>
      </c>
      <c r="X7" s="534" t="s">
        <v>331</v>
      </c>
      <c r="Y7" s="534"/>
      <c r="Z7" s="534" t="s">
        <v>7</v>
      </c>
      <c r="AA7" s="534" t="s">
        <v>158</v>
      </c>
      <c r="AB7" s="534"/>
      <c r="AC7" s="534"/>
      <c r="AD7" s="534" t="s">
        <v>7</v>
      </c>
      <c r="AE7" s="534" t="s">
        <v>158</v>
      </c>
      <c r="AF7" s="534"/>
      <c r="AG7" s="534"/>
    </row>
    <row r="8" spans="1:33" s="99" customFormat="1" ht="13.2" x14ac:dyDescent="0.25">
      <c r="A8" s="535"/>
      <c r="B8" s="535"/>
      <c r="C8" s="537"/>
      <c r="D8" s="534"/>
      <c r="E8" s="534"/>
      <c r="F8" s="534"/>
      <c r="G8" s="537"/>
      <c r="H8" s="534"/>
      <c r="I8" s="534" t="s">
        <v>7</v>
      </c>
      <c r="J8" s="534" t="s">
        <v>158</v>
      </c>
      <c r="K8" s="534"/>
      <c r="L8" s="537"/>
      <c r="M8" s="537"/>
      <c r="N8" s="537"/>
      <c r="O8" s="534" t="s">
        <v>10</v>
      </c>
      <c r="P8" s="534" t="s">
        <v>11</v>
      </c>
      <c r="Q8" s="537"/>
      <c r="R8" s="534" t="s">
        <v>10</v>
      </c>
      <c r="S8" s="534" t="s">
        <v>11</v>
      </c>
      <c r="T8" s="534"/>
      <c r="U8" s="534" t="s">
        <v>10</v>
      </c>
      <c r="V8" s="534" t="s">
        <v>11</v>
      </c>
      <c r="W8" s="534"/>
      <c r="X8" s="534"/>
      <c r="Y8" s="534"/>
      <c r="Z8" s="534"/>
      <c r="AA8" s="534" t="s">
        <v>10</v>
      </c>
      <c r="AB8" s="534" t="s">
        <v>11</v>
      </c>
      <c r="AC8" s="534"/>
      <c r="AD8" s="537"/>
      <c r="AE8" s="534" t="s">
        <v>9</v>
      </c>
      <c r="AF8" s="534" t="s">
        <v>10</v>
      </c>
      <c r="AG8" s="534" t="s">
        <v>11</v>
      </c>
    </row>
    <row r="9" spans="1:33" s="99" customFormat="1" ht="13.2" x14ac:dyDescent="0.25">
      <c r="A9" s="535"/>
      <c r="B9" s="535"/>
      <c r="C9" s="537"/>
      <c r="D9" s="534"/>
      <c r="E9" s="534"/>
      <c r="F9" s="534"/>
      <c r="G9" s="537"/>
      <c r="H9" s="534"/>
      <c r="I9" s="537"/>
      <c r="J9" s="196" t="s">
        <v>10</v>
      </c>
      <c r="K9" s="196" t="s">
        <v>11</v>
      </c>
      <c r="L9" s="537"/>
      <c r="M9" s="537"/>
      <c r="N9" s="537"/>
      <c r="O9" s="537"/>
      <c r="P9" s="537"/>
      <c r="Q9" s="537"/>
      <c r="R9" s="537"/>
      <c r="S9" s="537"/>
      <c r="T9" s="534"/>
      <c r="U9" s="537"/>
      <c r="V9" s="537"/>
      <c r="W9" s="534"/>
      <c r="X9" s="534"/>
      <c r="Y9" s="534"/>
      <c r="Z9" s="534"/>
      <c r="AA9" s="537"/>
      <c r="AB9" s="537"/>
      <c r="AC9" s="534"/>
      <c r="AD9" s="537"/>
      <c r="AE9" s="537"/>
      <c r="AF9" s="537"/>
      <c r="AG9" s="537"/>
    </row>
    <row r="10" spans="1:33" ht="27" customHeight="1" x14ac:dyDescent="0.3">
      <c r="A10" s="100">
        <v>1</v>
      </c>
      <c r="B10" s="101" t="s">
        <v>217</v>
      </c>
      <c r="C10" s="227">
        <f t="shared" ref="C10:C26" si="0">D10+E10+F10</f>
        <v>403515</v>
      </c>
      <c r="D10" s="227">
        <f t="shared" ref="D10:D26" si="1">SUM(AE10)</f>
        <v>114000</v>
      </c>
      <c r="E10" s="227">
        <f>+J10+L10+O10+R10+U10+AF10+AA10+M10</f>
        <v>238055</v>
      </c>
      <c r="F10" s="227">
        <f t="shared" ref="F10:F18" si="2">SUM(K10,P10,S10,V10,W10,X10,Y10,AC10,AG10,AB10)</f>
        <v>51460</v>
      </c>
      <c r="G10" s="227">
        <f t="shared" ref="G10:G26" si="3">+F10-AG10</f>
        <v>13460</v>
      </c>
      <c r="H10" s="227">
        <f>SUM(I10,L10,M10)</f>
        <v>2005</v>
      </c>
      <c r="I10" s="227">
        <v>2000</v>
      </c>
      <c r="J10" s="227">
        <f>+I10*30%</f>
        <v>600</v>
      </c>
      <c r="K10" s="227">
        <f>+I10*70%</f>
        <v>1400</v>
      </c>
      <c r="L10" s="227">
        <v>5</v>
      </c>
      <c r="M10" s="227">
        <v>0</v>
      </c>
      <c r="N10" s="227">
        <v>1300</v>
      </c>
      <c r="O10" s="227">
        <f>+N10*30%</f>
        <v>390</v>
      </c>
      <c r="P10" s="227">
        <f>+N10*70%</f>
        <v>909.99999999999989</v>
      </c>
      <c r="Q10" s="227">
        <v>7000</v>
      </c>
      <c r="R10" s="227">
        <f t="shared" ref="R10:R26" si="4">+Q10*50%</f>
        <v>3500</v>
      </c>
      <c r="S10" s="227">
        <f t="shared" ref="S10:S26" si="5">+Q10*50%</f>
        <v>3500</v>
      </c>
      <c r="T10" s="227">
        <v>11000</v>
      </c>
      <c r="U10" s="227">
        <f t="shared" ref="U10:U26" si="6">+T10*50%</f>
        <v>5500</v>
      </c>
      <c r="V10" s="227">
        <f t="shared" ref="V10:V26" si="7">+T10*50%</f>
        <v>5500</v>
      </c>
      <c r="W10" s="227">
        <v>480</v>
      </c>
      <c r="X10" s="227">
        <v>120</v>
      </c>
      <c r="Y10" s="227">
        <v>1150</v>
      </c>
      <c r="Z10" s="227">
        <v>100</v>
      </c>
      <c r="AA10" s="227">
        <f t="shared" ref="AA10:AA15" si="8">+Z10*60%</f>
        <v>60</v>
      </c>
      <c r="AB10" s="227">
        <f t="shared" ref="AB10:AB15" si="9">+Z10*40%</f>
        <v>40</v>
      </c>
      <c r="AC10" s="227">
        <v>360</v>
      </c>
      <c r="AD10" s="227">
        <v>380000</v>
      </c>
      <c r="AE10" s="227">
        <f t="shared" ref="AE10:AE24" si="10">+AD10*30%</f>
        <v>114000</v>
      </c>
      <c r="AF10" s="227">
        <f t="shared" ref="AF10:AF24" si="11">+AD10*60%</f>
        <v>228000</v>
      </c>
      <c r="AG10" s="227">
        <f t="shared" ref="AG10:AG24" si="12">+AD10*10%</f>
        <v>38000</v>
      </c>
    </row>
    <row r="11" spans="1:33" ht="27" customHeight="1" x14ac:dyDescent="0.3">
      <c r="A11" s="100">
        <v>2</v>
      </c>
      <c r="B11" s="101" t="s">
        <v>218</v>
      </c>
      <c r="C11" s="227">
        <f t="shared" si="0"/>
        <v>188945</v>
      </c>
      <c r="D11" s="227">
        <f t="shared" si="1"/>
        <v>51600</v>
      </c>
      <c r="E11" s="227">
        <f t="shared" ref="E11:E26" si="13">+J11+L11+O11+R11+U11+AF11+AA11+M11</f>
        <v>109863.9</v>
      </c>
      <c r="F11" s="227">
        <f t="shared" si="2"/>
        <v>27481.1</v>
      </c>
      <c r="G11" s="227">
        <f t="shared" si="3"/>
        <v>10281.099999999999</v>
      </c>
      <c r="H11" s="227">
        <f t="shared" ref="H11:H26" si="14">SUM(I11,L11,M11)</f>
        <v>2175</v>
      </c>
      <c r="I11" s="227">
        <v>2173</v>
      </c>
      <c r="J11" s="227">
        <f>+I11*30%</f>
        <v>651.9</v>
      </c>
      <c r="K11" s="227">
        <f>+I11*70%</f>
        <v>1521.1</v>
      </c>
      <c r="L11" s="227">
        <v>2</v>
      </c>
      <c r="M11" s="227">
        <v>0</v>
      </c>
      <c r="N11" s="227">
        <v>1700</v>
      </c>
      <c r="O11" s="227">
        <f>+N11*30%</f>
        <v>510</v>
      </c>
      <c r="P11" s="227">
        <f>+N11*70%</f>
        <v>1190</v>
      </c>
      <c r="Q11" s="227">
        <v>7500</v>
      </c>
      <c r="R11" s="227">
        <f t="shared" si="4"/>
        <v>3750</v>
      </c>
      <c r="S11" s="227">
        <f t="shared" si="5"/>
        <v>3750</v>
      </c>
      <c r="T11" s="227">
        <v>3500</v>
      </c>
      <c r="U11" s="227">
        <f t="shared" si="6"/>
        <v>1750</v>
      </c>
      <c r="V11" s="227">
        <f t="shared" si="7"/>
        <v>1750</v>
      </c>
      <c r="W11" s="227">
        <v>480</v>
      </c>
      <c r="X11" s="227">
        <v>180</v>
      </c>
      <c r="Y11" s="227">
        <v>860</v>
      </c>
      <c r="Z11" s="227"/>
      <c r="AA11" s="227"/>
      <c r="AB11" s="227"/>
      <c r="AC11" s="227">
        <v>550</v>
      </c>
      <c r="AD11" s="227">
        <v>172000</v>
      </c>
      <c r="AE11" s="227">
        <f t="shared" si="10"/>
        <v>51600</v>
      </c>
      <c r="AF11" s="227">
        <f t="shared" si="11"/>
        <v>103200</v>
      </c>
      <c r="AG11" s="227">
        <f t="shared" si="12"/>
        <v>17200</v>
      </c>
    </row>
    <row r="12" spans="1:33" ht="27" customHeight="1" x14ac:dyDescent="0.3">
      <c r="A12" s="100">
        <v>3</v>
      </c>
      <c r="B12" s="101" t="s">
        <v>219</v>
      </c>
      <c r="C12" s="227">
        <f t="shared" si="0"/>
        <v>5530</v>
      </c>
      <c r="D12" s="227">
        <f t="shared" si="1"/>
        <v>1200</v>
      </c>
      <c r="E12" s="227">
        <f t="shared" si="13"/>
        <v>2600</v>
      </c>
      <c r="F12" s="227">
        <f t="shared" si="2"/>
        <v>1730</v>
      </c>
      <c r="G12" s="227">
        <f t="shared" si="3"/>
        <v>1330</v>
      </c>
      <c r="H12" s="227">
        <f t="shared" si="14"/>
        <v>500</v>
      </c>
      <c r="I12" s="227">
        <v>500</v>
      </c>
      <c r="J12" s="227"/>
      <c r="K12" s="227">
        <f t="shared" ref="K12:K26" si="15">+I12</f>
        <v>500</v>
      </c>
      <c r="L12" s="227">
        <v>0</v>
      </c>
      <c r="M12" s="227">
        <v>0</v>
      </c>
      <c r="N12" s="227">
        <v>250</v>
      </c>
      <c r="O12" s="227"/>
      <c r="P12" s="227">
        <f t="shared" ref="P12:P26" si="16">+N12</f>
        <v>250</v>
      </c>
      <c r="Q12" s="227">
        <v>250</v>
      </c>
      <c r="R12" s="227">
        <f t="shared" si="4"/>
        <v>125</v>
      </c>
      <c r="S12" s="227">
        <f t="shared" si="5"/>
        <v>125</v>
      </c>
      <c r="T12" s="227">
        <v>150</v>
      </c>
      <c r="U12" s="227">
        <f t="shared" si="6"/>
        <v>75</v>
      </c>
      <c r="V12" s="227">
        <f t="shared" si="7"/>
        <v>75</v>
      </c>
      <c r="W12" s="227">
        <v>30</v>
      </c>
      <c r="X12" s="227">
        <v>30</v>
      </c>
      <c r="Y12" s="227">
        <v>120</v>
      </c>
      <c r="Z12" s="227"/>
      <c r="AA12" s="227"/>
      <c r="AB12" s="227"/>
      <c r="AC12" s="227">
        <v>200</v>
      </c>
      <c r="AD12" s="227">
        <v>4000</v>
      </c>
      <c r="AE12" s="227">
        <f t="shared" si="10"/>
        <v>1200</v>
      </c>
      <c r="AF12" s="227">
        <f t="shared" si="11"/>
        <v>2400</v>
      </c>
      <c r="AG12" s="227">
        <f t="shared" si="12"/>
        <v>400</v>
      </c>
    </row>
    <row r="13" spans="1:33" ht="27" customHeight="1" x14ac:dyDescent="0.3">
      <c r="A13" s="100">
        <v>4</v>
      </c>
      <c r="B13" s="101" t="s">
        <v>220</v>
      </c>
      <c r="C13" s="227">
        <f t="shared" si="0"/>
        <v>2438</v>
      </c>
      <c r="D13" s="227">
        <f t="shared" si="1"/>
        <v>0</v>
      </c>
      <c r="E13" s="227">
        <f t="shared" si="13"/>
        <v>600</v>
      </c>
      <c r="F13" s="227">
        <f t="shared" si="2"/>
        <v>1838</v>
      </c>
      <c r="G13" s="227">
        <f t="shared" si="3"/>
        <v>1838</v>
      </c>
      <c r="H13" s="227">
        <f t="shared" si="14"/>
        <v>400</v>
      </c>
      <c r="I13" s="227">
        <v>400</v>
      </c>
      <c r="J13" s="227"/>
      <c r="K13" s="227">
        <f t="shared" si="15"/>
        <v>400</v>
      </c>
      <c r="L13" s="227">
        <v>0</v>
      </c>
      <c r="M13" s="227">
        <v>0</v>
      </c>
      <c r="N13" s="227">
        <v>200</v>
      </c>
      <c r="O13" s="227"/>
      <c r="P13" s="227">
        <f t="shared" si="16"/>
        <v>200</v>
      </c>
      <c r="Q13" s="227">
        <v>800</v>
      </c>
      <c r="R13" s="227">
        <f t="shared" si="4"/>
        <v>400</v>
      </c>
      <c r="S13" s="227">
        <f t="shared" si="5"/>
        <v>400</v>
      </c>
      <c r="T13" s="227">
        <v>400</v>
      </c>
      <c r="U13" s="227">
        <f t="shared" si="6"/>
        <v>200</v>
      </c>
      <c r="V13" s="227">
        <f t="shared" si="7"/>
        <v>200</v>
      </c>
      <c r="W13" s="227">
        <v>148</v>
      </c>
      <c r="X13" s="227">
        <v>70</v>
      </c>
      <c r="Y13" s="227">
        <v>220</v>
      </c>
      <c r="Z13" s="227"/>
      <c r="AA13" s="227">
        <f t="shared" si="8"/>
        <v>0</v>
      </c>
      <c r="AB13" s="227">
        <f t="shared" si="9"/>
        <v>0</v>
      </c>
      <c r="AC13" s="227">
        <v>200</v>
      </c>
      <c r="AD13" s="227"/>
      <c r="AE13" s="227">
        <f t="shared" si="10"/>
        <v>0</v>
      </c>
      <c r="AF13" s="227">
        <f t="shared" si="11"/>
        <v>0</v>
      </c>
      <c r="AG13" s="227">
        <f t="shared" si="12"/>
        <v>0</v>
      </c>
    </row>
    <row r="14" spans="1:33" ht="27" customHeight="1" x14ac:dyDescent="0.3">
      <c r="A14" s="100">
        <v>5</v>
      </c>
      <c r="B14" s="101" t="s">
        <v>221</v>
      </c>
      <c r="C14" s="227">
        <f t="shared" si="0"/>
        <v>1990</v>
      </c>
      <c r="D14" s="227">
        <f t="shared" si="1"/>
        <v>0</v>
      </c>
      <c r="E14" s="227">
        <f t="shared" si="13"/>
        <v>585</v>
      </c>
      <c r="F14" s="227">
        <f t="shared" si="2"/>
        <v>1405</v>
      </c>
      <c r="G14" s="227">
        <f t="shared" si="3"/>
        <v>1405</v>
      </c>
      <c r="H14" s="227">
        <f t="shared" si="14"/>
        <v>210</v>
      </c>
      <c r="I14" s="227">
        <v>200</v>
      </c>
      <c r="J14" s="227"/>
      <c r="K14" s="227">
        <f t="shared" si="15"/>
        <v>200</v>
      </c>
      <c r="L14" s="227">
        <v>10</v>
      </c>
      <c r="M14" s="227">
        <v>0</v>
      </c>
      <c r="N14" s="227">
        <v>100</v>
      </c>
      <c r="O14" s="227"/>
      <c r="P14" s="227">
        <f t="shared" si="16"/>
        <v>100</v>
      </c>
      <c r="Q14" s="227">
        <v>850</v>
      </c>
      <c r="R14" s="227">
        <f t="shared" si="4"/>
        <v>425</v>
      </c>
      <c r="S14" s="227">
        <f t="shared" si="5"/>
        <v>425</v>
      </c>
      <c r="T14" s="227">
        <v>300</v>
      </c>
      <c r="U14" s="227">
        <f t="shared" si="6"/>
        <v>150</v>
      </c>
      <c r="V14" s="227">
        <f t="shared" si="7"/>
        <v>150</v>
      </c>
      <c r="W14" s="227">
        <v>70</v>
      </c>
      <c r="X14" s="227">
        <v>100</v>
      </c>
      <c r="Y14" s="227">
        <v>160</v>
      </c>
      <c r="Z14" s="227"/>
      <c r="AA14" s="227"/>
      <c r="AB14" s="227"/>
      <c r="AC14" s="227">
        <v>200</v>
      </c>
      <c r="AD14" s="227"/>
      <c r="AE14" s="227">
        <f t="shared" si="10"/>
        <v>0</v>
      </c>
      <c r="AF14" s="227">
        <f t="shared" si="11"/>
        <v>0</v>
      </c>
      <c r="AG14" s="227">
        <f t="shared" si="12"/>
        <v>0</v>
      </c>
    </row>
    <row r="15" spans="1:33" ht="27" customHeight="1" x14ac:dyDescent="0.3">
      <c r="A15" s="100">
        <v>6</v>
      </c>
      <c r="B15" s="101" t="s">
        <v>222</v>
      </c>
      <c r="C15" s="227">
        <f t="shared" si="0"/>
        <v>12000</v>
      </c>
      <c r="D15" s="227">
        <f t="shared" si="1"/>
        <v>3000</v>
      </c>
      <c r="E15" s="227">
        <f t="shared" si="13"/>
        <v>6545</v>
      </c>
      <c r="F15" s="227">
        <f t="shared" si="2"/>
        <v>2455</v>
      </c>
      <c r="G15" s="227">
        <f t="shared" si="3"/>
        <v>1455</v>
      </c>
      <c r="H15" s="227">
        <f t="shared" si="14"/>
        <v>310</v>
      </c>
      <c r="I15" s="227">
        <v>300</v>
      </c>
      <c r="J15" s="227"/>
      <c r="K15" s="227">
        <f t="shared" si="15"/>
        <v>300</v>
      </c>
      <c r="L15" s="227">
        <v>0</v>
      </c>
      <c r="M15" s="227">
        <v>10</v>
      </c>
      <c r="N15" s="227">
        <v>150</v>
      </c>
      <c r="O15" s="227"/>
      <c r="P15" s="227">
        <f t="shared" si="16"/>
        <v>150</v>
      </c>
      <c r="Q15" s="227">
        <v>750</v>
      </c>
      <c r="R15" s="227">
        <f t="shared" si="4"/>
        <v>375</v>
      </c>
      <c r="S15" s="227">
        <f t="shared" si="5"/>
        <v>375</v>
      </c>
      <c r="T15" s="227">
        <v>200</v>
      </c>
      <c r="U15" s="227">
        <f t="shared" si="6"/>
        <v>100</v>
      </c>
      <c r="V15" s="227">
        <f t="shared" si="7"/>
        <v>100</v>
      </c>
      <c r="W15" s="227">
        <v>60</v>
      </c>
      <c r="X15" s="227">
        <v>120</v>
      </c>
      <c r="Y15" s="227">
        <v>210</v>
      </c>
      <c r="Z15" s="227">
        <v>100</v>
      </c>
      <c r="AA15" s="227">
        <f t="shared" si="8"/>
        <v>60</v>
      </c>
      <c r="AB15" s="227">
        <f t="shared" si="9"/>
        <v>40</v>
      </c>
      <c r="AC15" s="227">
        <v>100</v>
      </c>
      <c r="AD15" s="227">
        <v>10000</v>
      </c>
      <c r="AE15" s="227">
        <f t="shared" si="10"/>
        <v>3000</v>
      </c>
      <c r="AF15" s="227">
        <f t="shared" si="11"/>
        <v>6000</v>
      </c>
      <c r="AG15" s="227">
        <f t="shared" si="12"/>
        <v>1000</v>
      </c>
    </row>
    <row r="16" spans="1:33" ht="27" customHeight="1" x14ac:dyDescent="0.3">
      <c r="A16" s="100">
        <v>7</v>
      </c>
      <c r="B16" s="101" t="s">
        <v>223</v>
      </c>
      <c r="C16" s="227">
        <f t="shared" si="0"/>
        <v>1650</v>
      </c>
      <c r="D16" s="227">
        <f t="shared" si="1"/>
        <v>0</v>
      </c>
      <c r="E16" s="227">
        <f t="shared" si="13"/>
        <v>600</v>
      </c>
      <c r="F16" s="227">
        <f t="shared" si="2"/>
        <v>1050</v>
      </c>
      <c r="G16" s="227">
        <f t="shared" si="3"/>
        <v>1050</v>
      </c>
      <c r="H16" s="227">
        <f t="shared" si="14"/>
        <v>80</v>
      </c>
      <c r="I16" s="227">
        <v>80</v>
      </c>
      <c r="J16" s="227"/>
      <c r="K16" s="227">
        <f t="shared" si="15"/>
        <v>80</v>
      </c>
      <c r="L16" s="227">
        <v>0</v>
      </c>
      <c r="M16" s="227">
        <v>0</v>
      </c>
      <c r="N16" s="227">
        <v>40</v>
      </c>
      <c r="O16" s="227"/>
      <c r="P16" s="227">
        <f t="shared" si="16"/>
        <v>40</v>
      </c>
      <c r="Q16" s="227">
        <v>800</v>
      </c>
      <c r="R16" s="227">
        <f t="shared" si="4"/>
        <v>400</v>
      </c>
      <c r="S16" s="227">
        <f t="shared" si="5"/>
        <v>400</v>
      </c>
      <c r="T16" s="227">
        <v>400</v>
      </c>
      <c r="U16" s="227">
        <f t="shared" si="6"/>
        <v>200</v>
      </c>
      <c r="V16" s="227">
        <f t="shared" si="7"/>
        <v>200</v>
      </c>
      <c r="W16" s="227">
        <v>50</v>
      </c>
      <c r="X16" s="227">
        <v>30</v>
      </c>
      <c r="Y16" s="227">
        <v>200</v>
      </c>
      <c r="Z16" s="227"/>
      <c r="AA16" s="227"/>
      <c r="AB16" s="227"/>
      <c r="AC16" s="227">
        <v>50</v>
      </c>
      <c r="AD16" s="227"/>
      <c r="AE16" s="227">
        <f t="shared" si="10"/>
        <v>0</v>
      </c>
      <c r="AF16" s="227">
        <f t="shared" si="11"/>
        <v>0</v>
      </c>
      <c r="AG16" s="227">
        <f t="shared" si="12"/>
        <v>0</v>
      </c>
    </row>
    <row r="17" spans="1:46" ht="27" customHeight="1" x14ac:dyDescent="0.3">
      <c r="A17" s="100">
        <v>8</v>
      </c>
      <c r="B17" s="101" t="s">
        <v>224</v>
      </c>
      <c r="C17" s="227">
        <f t="shared" si="0"/>
        <v>2505</v>
      </c>
      <c r="D17" s="227">
        <f t="shared" si="1"/>
        <v>0</v>
      </c>
      <c r="E17" s="227">
        <f t="shared" si="13"/>
        <v>400</v>
      </c>
      <c r="F17" s="227">
        <f t="shared" si="2"/>
        <v>2105</v>
      </c>
      <c r="G17" s="227">
        <f t="shared" si="3"/>
        <v>2105</v>
      </c>
      <c r="H17" s="227">
        <f t="shared" si="14"/>
        <v>800</v>
      </c>
      <c r="I17" s="227">
        <v>800</v>
      </c>
      <c r="J17" s="227"/>
      <c r="K17" s="227">
        <f t="shared" si="15"/>
        <v>800</v>
      </c>
      <c r="L17" s="227">
        <v>0</v>
      </c>
      <c r="M17" s="227">
        <v>0</v>
      </c>
      <c r="N17" s="227">
        <v>400</v>
      </c>
      <c r="O17" s="227"/>
      <c r="P17" s="227">
        <f t="shared" si="16"/>
        <v>400</v>
      </c>
      <c r="Q17" s="227">
        <v>600</v>
      </c>
      <c r="R17" s="227">
        <f t="shared" si="4"/>
        <v>300</v>
      </c>
      <c r="S17" s="227">
        <f t="shared" si="5"/>
        <v>300</v>
      </c>
      <c r="T17" s="227">
        <v>200</v>
      </c>
      <c r="U17" s="227">
        <f t="shared" si="6"/>
        <v>100</v>
      </c>
      <c r="V17" s="227">
        <f t="shared" si="7"/>
        <v>100</v>
      </c>
      <c r="W17" s="227">
        <v>85</v>
      </c>
      <c r="X17" s="227">
        <v>60</v>
      </c>
      <c r="Y17" s="227">
        <v>160</v>
      </c>
      <c r="Z17" s="227"/>
      <c r="AA17" s="227"/>
      <c r="AB17" s="227"/>
      <c r="AC17" s="227">
        <v>200</v>
      </c>
      <c r="AD17" s="227"/>
      <c r="AE17" s="227">
        <f t="shared" si="10"/>
        <v>0</v>
      </c>
      <c r="AF17" s="227">
        <f t="shared" si="11"/>
        <v>0</v>
      </c>
      <c r="AG17" s="227">
        <f t="shared" si="12"/>
        <v>0</v>
      </c>
    </row>
    <row r="18" spans="1:46" ht="27" customHeight="1" x14ac:dyDescent="0.3">
      <c r="A18" s="100">
        <v>9</v>
      </c>
      <c r="B18" s="101" t="s">
        <v>225</v>
      </c>
      <c r="C18" s="227">
        <f t="shared" si="0"/>
        <v>82205</v>
      </c>
      <c r="D18" s="227">
        <f t="shared" si="1"/>
        <v>24000</v>
      </c>
      <c r="E18" s="227">
        <f t="shared" si="13"/>
        <v>48870</v>
      </c>
      <c r="F18" s="227">
        <f t="shared" si="2"/>
        <v>9335</v>
      </c>
      <c r="G18" s="227">
        <f t="shared" si="3"/>
        <v>1335</v>
      </c>
      <c r="H18" s="227">
        <f t="shared" si="14"/>
        <v>40</v>
      </c>
      <c r="I18" s="227">
        <v>30</v>
      </c>
      <c r="J18" s="227"/>
      <c r="K18" s="227">
        <f t="shared" si="15"/>
        <v>30</v>
      </c>
      <c r="L18" s="227">
        <v>0</v>
      </c>
      <c r="M18" s="227">
        <v>10</v>
      </c>
      <c r="N18" s="227">
        <v>15</v>
      </c>
      <c r="O18" s="227"/>
      <c r="P18" s="227">
        <f t="shared" si="16"/>
        <v>15</v>
      </c>
      <c r="Q18" s="227">
        <v>1000</v>
      </c>
      <c r="R18" s="227">
        <f t="shared" si="4"/>
        <v>500</v>
      </c>
      <c r="S18" s="227">
        <f t="shared" si="5"/>
        <v>500</v>
      </c>
      <c r="T18" s="227">
        <v>480</v>
      </c>
      <c r="U18" s="227">
        <f t="shared" si="6"/>
        <v>240</v>
      </c>
      <c r="V18" s="227">
        <f t="shared" si="7"/>
        <v>240</v>
      </c>
      <c r="W18" s="227">
        <v>30</v>
      </c>
      <c r="X18" s="227">
        <v>80</v>
      </c>
      <c r="Y18" s="227">
        <v>160</v>
      </c>
      <c r="Z18" s="227">
        <v>200</v>
      </c>
      <c r="AA18" s="227">
        <f>+Z18*60%</f>
        <v>120</v>
      </c>
      <c r="AB18" s="227">
        <f>+Z18*40%</f>
        <v>80</v>
      </c>
      <c r="AC18" s="227">
        <v>200</v>
      </c>
      <c r="AD18" s="227">
        <v>80000</v>
      </c>
      <c r="AE18" s="227">
        <f t="shared" si="10"/>
        <v>24000</v>
      </c>
      <c r="AF18" s="227">
        <f t="shared" si="11"/>
        <v>48000</v>
      </c>
      <c r="AG18" s="227">
        <f t="shared" si="12"/>
        <v>8000</v>
      </c>
    </row>
    <row r="19" spans="1:46" ht="27" customHeight="1" x14ac:dyDescent="0.3">
      <c r="A19" s="100">
        <v>10</v>
      </c>
      <c r="B19" s="101" t="s">
        <v>226</v>
      </c>
      <c r="C19" s="227">
        <f t="shared" si="0"/>
        <v>6859</v>
      </c>
      <c r="D19" s="227">
        <f t="shared" si="1"/>
        <v>0</v>
      </c>
      <c r="E19" s="227">
        <f t="shared" si="13"/>
        <v>2250</v>
      </c>
      <c r="F19" s="227">
        <f>SUM(K19,P19,S19,V19,W19,X19,Y19,AC19,AG19,AB19)-1</f>
        <v>4609</v>
      </c>
      <c r="G19" s="227">
        <f t="shared" si="3"/>
        <v>4609</v>
      </c>
      <c r="H19" s="227">
        <f t="shared" si="14"/>
        <v>1000</v>
      </c>
      <c r="I19" s="227">
        <v>1000</v>
      </c>
      <c r="J19" s="227"/>
      <c r="K19" s="227">
        <f t="shared" si="15"/>
        <v>1000</v>
      </c>
      <c r="L19" s="227">
        <v>0</v>
      </c>
      <c r="M19" s="227">
        <v>0</v>
      </c>
      <c r="N19" s="227">
        <v>600</v>
      </c>
      <c r="O19" s="227"/>
      <c r="P19" s="227">
        <f t="shared" si="16"/>
        <v>600</v>
      </c>
      <c r="Q19" s="227">
        <v>3500</v>
      </c>
      <c r="R19" s="227">
        <f t="shared" si="4"/>
        <v>1750</v>
      </c>
      <c r="S19" s="227">
        <f t="shared" si="5"/>
        <v>1750</v>
      </c>
      <c r="T19" s="227">
        <v>1000</v>
      </c>
      <c r="U19" s="227">
        <f t="shared" si="6"/>
        <v>500</v>
      </c>
      <c r="V19" s="227">
        <f t="shared" si="7"/>
        <v>500</v>
      </c>
      <c r="W19" s="227">
        <v>230</v>
      </c>
      <c r="X19" s="227">
        <v>50</v>
      </c>
      <c r="Y19" s="227">
        <v>280</v>
      </c>
      <c r="Z19" s="227"/>
      <c r="AA19" s="227"/>
      <c r="AB19" s="227"/>
      <c r="AC19" s="227">
        <v>200</v>
      </c>
      <c r="AD19" s="227"/>
      <c r="AE19" s="227">
        <f t="shared" si="10"/>
        <v>0</v>
      </c>
      <c r="AF19" s="227">
        <f t="shared" si="11"/>
        <v>0</v>
      </c>
      <c r="AG19" s="227">
        <f t="shared" si="12"/>
        <v>0</v>
      </c>
    </row>
    <row r="20" spans="1:46" ht="27" customHeight="1" x14ac:dyDescent="0.3">
      <c r="A20" s="100">
        <v>11</v>
      </c>
      <c r="B20" s="101" t="s">
        <v>227</v>
      </c>
      <c r="C20" s="227">
        <f t="shared" si="0"/>
        <v>920</v>
      </c>
      <c r="D20" s="227">
        <f t="shared" si="1"/>
        <v>0</v>
      </c>
      <c r="E20" s="227">
        <f t="shared" si="13"/>
        <v>230</v>
      </c>
      <c r="F20" s="227">
        <f t="shared" ref="F20:F26" si="17">SUM(K20,P20,S20,V20,W20,X20,Y20,AC20,AG20,AB20)</f>
        <v>690</v>
      </c>
      <c r="G20" s="227">
        <f t="shared" si="3"/>
        <v>690</v>
      </c>
      <c r="H20" s="227">
        <f t="shared" si="14"/>
        <v>35</v>
      </c>
      <c r="I20" s="227">
        <v>30</v>
      </c>
      <c r="J20" s="227"/>
      <c r="K20" s="227">
        <f t="shared" si="15"/>
        <v>30</v>
      </c>
      <c r="L20" s="227">
        <v>0</v>
      </c>
      <c r="M20" s="227">
        <v>5</v>
      </c>
      <c r="N20" s="227">
        <v>15</v>
      </c>
      <c r="O20" s="227"/>
      <c r="P20" s="227">
        <f t="shared" si="16"/>
        <v>15</v>
      </c>
      <c r="Q20" s="227">
        <v>350</v>
      </c>
      <c r="R20" s="227">
        <f t="shared" si="4"/>
        <v>175</v>
      </c>
      <c r="S20" s="227">
        <f t="shared" si="5"/>
        <v>175</v>
      </c>
      <c r="T20" s="227">
        <v>100</v>
      </c>
      <c r="U20" s="227">
        <f t="shared" si="6"/>
        <v>50</v>
      </c>
      <c r="V20" s="227">
        <f t="shared" si="7"/>
        <v>50</v>
      </c>
      <c r="W20" s="227">
        <v>30</v>
      </c>
      <c r="X20" s="227">
        <v>50</v>
      </c>
      <c r="Y20" s="227">
        <v>190</v>
      </c>
      <c r="Z20" s="227"/>
      <c r="AA20" s="227"/>
      <c r="AB20" s="227"/>
      <c r="AC20" s="227">
        <v>150</v>
      </c>
      <c r="AD20" s="227"/>
      <c r="AE20" s="227">
        <f t="shared" si="10"/>
        <v>0</v>
      </c>
      <c r="AF20" s="227">
        <f t="shared" si="11"/>
        <v>0</v>
      </c>
      <c r="AG20" s="227">
        <f t="shared" si="12"/>
        <v>0</v>
      </c>
    </row>
    <row r="21" spans="1:46" ht="27" customHeight="1" x14ac:dyDescent="0.3">
      <c r="A21" s="100">
        <v>12</v>
      </c>
      <c r="B21" s="101" t="s">
        <v>228</v>
      </c>
      <c r="C21" s="227">
        <f t="shared" si="0"/>
        <v>31042</v>
      </c>
      <c r="D21" s="227">
        <f t="shared" si="1"/>
        <v>7500</v>
      </c>
      <c r="E21" s="227">
        <f t="shared" si="13"/>
        <v>16650</v>
      </c>
      <c r="F21" s="227">
        <f t="shared" si="17"/>
        <v>6892</v>
      </c>
      <c r="G21" s="227">
        <f t="shared" si="3"/>
        <v>4392</v>
      </c>
      <c r="H21" s="227">
        <f t="shared" si="14"/>
        <v>1300</v>
      </c>
      <c r="I21" s="227">
        <v>1300</v>
      </c>
      <c r="J21" s="227"/>
      <c r="K21" s="227">
        <f t="shared" si="15"/>
        <v>1300</v>
      </c>
      <c r="L21" s="227">
        <v>0</v>
      </c>
      <c r="M21" s="227">
        <v>0</v>
      </c>
      <c r="N21" s="227">
        <v>630</v>
      </c>
      <c r="O21" s="227"/>
      <c r="P21" s="227">
        <f t="shared" si="16"/>
        <v>630</v>
      </c>
      <c r="Q21" s="227">
        <v>2500</v>
      </c>
      <c r="R21" s="227">
        <f t="shared" si="4"/>
        <v>1250</v>
      </c>
      <c r="S21" s="227">
        <f t="shared" si="5"/>
        <v>1250</v>
      </c>
      <c r="T21" s="227">
        <v>800</v>
      </c>
      <c r="U21" s="227">
        <f t="shared" si="6"/>
        <v>400</v>
      </c>
      <c r="V21" s="227">
        <f t="shared" si="7"/>
        <v>400</v>
      </c>
      <c r="W21" s="227">
        <v>162</v>
      </c>
      <c r="X21" s="227">
        <v>100</v>
      </c>
      <c r="Y21" s="227">
        <v>150</v>
      </c>
      <c r="Z21" s="227"/>
      <c r="AA21" s="227"/>
      <c r="AB21" s="227"/>
      <c r="AC21" s="227">
        <v>400</v>
      </c>
      <c r="AD21" s="227">
        <v>25000</v>
      </c>
      <c r="AE21" s="227">
        <f t="shared" si="10"/>
        <v>7500</v>
      </c>
      <c r="AF21" s="227">
        <f t="shared" si="11"/>
        <v>15000</v>
      </c>
      <c r="AG21" s="227">
        <f t="shared" si="12"/>
        <v>2500</v>
      </c>
    </row>
    <row r="22" spans="1:46" ht="27" customHeight="1" x14ac:dyDescent="0.3">
      <c r="A22" s="100">
        <v>13</v>
      </c>
      <c r="B22" s="101" t="s">
        <v>229</v>
      </c>
      <c r="C22" s="227">
        <f t="shared" si="0"/>
        <v>10555</v>
      </c>
      <c r="D22" s="227">
        <f t="shared" si="1"/>
        <v>2700</v>
      </c>
      <c r="E22" s="227">
        <f t="shared" si="13"/>
        <v>5655</v>
      </c>
      <c r="F22" s="227">
        <f t="shared" si="17"/>
        <v>2200</v>
      </c>
      <c r="G22" s="227">
        <f t="shared" si="3"/>
        <v>1300</v>
      </c>
      <c r="H22" s="227">
        <f t="shared" si="14"/>
        <v>305</v>
      </c>
      <c r="I22" s="227">
        <v>300</v>
      </c>
      <c r="J22" s="227"/>
      <c r="K22" s="227">
        <f t="shared" si="15"/>
        <v>300</v>
      </c>
      <c r="L22" s="227">
        <v>0</v>
      </c>
      <c r="M22" s="227">
        <v>5</v>
      </c>
      <c r="N22" s="227">
        <v>150</v>
      </c>
      <c r="O22" s="227"/>
      <c r="P22" s="227">
        <f t="shared" si="16"/>
        <v>150</v>
      </c>
      <c r="Q22" s="227">
        <v>350</v>
      </c>
      <c r="R22" s="227">
        <f t="shared" si="4"/>
        <v>175</v>
      </c>
      <c r="S22" s="227">
        <f t="shared" si="5"/>
        <v>175</v>
      </c>
      <c r="T22" s="227">
        <v>150</v>
      </c>
      <c r="U22" s="227">
        <f t="shared" si="6"/>
        <v>75</v>
      </c>
      <c r="V22" s="227">
        <f t="shared" si="7"/>
        <v>75</v>
      </c>
      <c r="W22" s="227">
        <v>80</v>
      </c>
      <c r="X22" s="227">
        <v>70</v>
      </c>
      <c r="Y22" s="227">
        <v>350</v>
      </c>
      <c r="Z22" s="227"/>
      <c r="AA22" s="227"/>
      <c r="AB22" s="227"/>
      <c r="AC22" s="227">
        <v>100</v>
      </c>
      <c r="AD22" s="227">
        <v>9000</v>
      </c>
      <c r="AE22" s="227">
        <f t="shared" si="10"/>
        <v>2700</v>
      </c>
      <c r="AF22" s="227">
        <f t="shared" si="11"/>
        <v>5400</v>
      </c>
      <c r="AG22" s="227">
        <f t="shared" si="12"/>
        <v>900</v>
      </c>
    </row>
    <row r="23" spans="1:46" ht="27" customHeight="1" x14ac:dyDescent="0.3">
      <c r="A23" s="100">
        <v>14</v>
      </c>
      <c r="B23" s="101" t="s">
        <v>230</v>
      </c>
      <c r="C23" s="227">
        <f t="shared" si="0"/>
        <v>37170</v>
      </c>
      <c r="D23" s="227">
        <f t="shared" si="1"/>
        <v>10500</v>
      </c>
      <c r="E23" s="227">
        <f t="shared" si="13"/>
        <v>21760</v>
      </c>
      <c r="F23" s="227">
        <f t="shared" si="17"/>
        <v>4910</v>
      </c>
      <c r="G23" s="227">
        <f t="shared" si="3"/>
        <v>1410</v>
      </c>
      <c r="H23" s="227">
        <f t="shared" si="14"/>
        <v>160</v>
      </c>
      <c r="I23" s="227">
        <v>150</v>
      </c>
      <c r="J23" s="227"/>
      <c r="K23" s="227">
        <f t="shared" si="15"/>
        <v>150</v>
      </c>
      <c r="L23" s="227">
        <v>0</v>
      </c>
      <c r="M23" s="227">
        <v>10</v>
      </c>
      <c r="N23" s="227">
        <v>70</v>
      </c>
      <c r="O23" s="227"/>
      <c r="P23" s="227">
        <f t="shared" si="16"/>
        <v>70</v>
      </c>
      <c r="Q23" s="227">
        <v>1200</v>
      </c>
      <c r="R23" s="227">
        <f t="shared" si="4"/>
        <v>600</v>
      </c>
      <c r="S23" s="227">
        <f t="shared" si="5"/>
        <v>600</v>
      </c>
      <c r="T23" s="227">
        <v>300</v>
      </c>
      <c r="U23" s="227">
        <f t="shared" si="6"/>
        <v>150</v>
      </c>
      <c r="V23" s="227">
        <f t="shared" si="7"/>
        <v>150</v>
      </c>
      <c r="W23" s="227">
        <v>70</v>
      </c>
      <c r="X23" s="227">
        <v>40</v>
      </c>
      <c r="Y23" s="227">
        <v>180</v>
      </c>
      <c r="Z23" s="227"/>
      <c r="AA23" s="227"/>
      <c r="AB23" s="227"/>
      <c r="AC23" s="227">
        <v>150</v>
      </c>
      <c r="AD23" s="227">
        <v>35000</v>
      </c>
      <c r="AE23" s="227">
        <f t="shared" si="10"/>
        <v>10500</v>
      </c>
      <c r="AF23" s="227">
        <f t="shared" si="11"/>
        <v>21000</v>
      </c>
      <c r="AG23" s="227">
        <f t="shared" si="12"/>
        <v>3500</v>
      </c>
    </row>
    <row r="24" spans="1:46" ht="27" customHeight="1" x14ac:dyDescent="0.3">
      <c r="A24" s="100">
        <v>15</v>
      </c>
      <c r="B24" s="102" t="s">
        <v>231</v>
      </c>
      <c r="C24" s="227">
        <f t="shared" si="0"/>
        <v>129900</v>
      </c>
      <c r="D24" s="227">
        <f t="shared" si="1"/>
        <v>37500</v>
      </c>
      <c r="E24" s="227">
        <f t="shared" si="13"/>
        <v>76510</v>
      </c>
      <c r="F24" s="227">
        <f t="shared" si="17"/>
        <v>15890</v>
      </c>
      <c r="G24" s="227">
        <f t="shared" si="3"/>
        <v>3390</v>
      </c>
      <c r="H24" s="227">
        <f t="shared" si="14"/>
        <v>1010</v>
      </c>
      <c r="I24" s="227">
        <v>1000</v>
      </c>
      <c r="J24" s="227"/>
      <c r="K24" s="227">
        <f t="shared" si="15"/>
        <v>1000</v>
      </c>
      <c r="L24" s="227">
        <v>0</v>
      </c>
      <c r="M24" s="227">
        <v>10</v>
      </c>
      <c r="N24" s="227">
        <v>400</v>
      </c>
      <c r="O24" s="227"/>
      <c r="P24" s="227">
        <f t="shared" si="16"/>
        <v>400</v>
      </c>
      <c r="Q24" s="227">
        <v>2000</v>
      </c>
      <c r="R24" s="227">
        <f t="shared" si="4"/>
        <v>1000</v>
      </c>
      <c r="S24" s="227">
        <f t="shared" si="5"/>
        <v>1000</v>
      </c>
      <c r="T24" s="227">
        <v>1000</v>
      </c>
      <c r="U24" s="227">
        <f t="shared" si="6"/>
        <v>500</v>
      </c>
      <c r="V24" s="227">
        <f t="shared" si="7"/>
        <v>500</v>
      </c>
      <c r="W24" s="227">
        <v>90</v>
      </c>
      <c r="X24" s="227">
        <v>90</v>
      </c>
      <c r="Y24" s="227">
        <v>160</v>
      </c>
      <c r="Z24" s="227"/>
      <c r="AA24" s="227"/>
      <c r="AB24" s="227"/>
      <c r="AC24" s="227">
        <v>150</v>
      </c>
      <c r="AD24" s="227">
        <v>125000</v>
      </c>
      <c r="AE24" s="227">
        <f t="shared" si="10"/>
        <v>37500</v>
      </c>
      <c r="AF24" s="227">
        <f t="shared" si="11"/>
        <v>75000</v>
      </c>
      <c r="AG24" s="227">
        <f t="shared" si="12"/>
        <v>12500</v>
      </c>
    </row>
    <row r="25" spans="1:46" ht="27" customHeight="1" x14ac:dyDescent="0.3">
      <c r="A25" s="100">
        <v>16</v>
      </c>
      <c r="B25" s="101" t="s">
        <v>232</v>
      </c>
      <c r="C25" s="227">
        <f t="shared" si="0"/>
        <v>400</v>
      </c>
      <c r="D25" s="227">
        <f t="shared" si="1"/>
        <v>0</v>
      </c>
      <c r="E25" s="227">
        <f t="shared" si="13"/>
        <v>60</v>
      </c>
      <c r="F25" s="227">
        <f t="shared" si="17"/>
        <v>340</v>
      </c>
      <c r="G25" s="227">
        <f t="shared" si="3"/>
        <v>340</v>
      </c>
      <c r="H25" s="227">
        <f t="shared" si="14"/>
        <v>85</v>
      </c>
      <c r="I25" s="227">
        <v>60</v>
      </c>
      <c r="J25" s="227"/>
      <c r="K25" s="227">
        <f t="shared" si="15"/>
        <v>60</v>
      </c>
      <c r="L25" s="227">
        <v>25</v>
      </c>
      <c r="M25" s="227">
        <v>0</v>
      </c>
      <c r="N25" s="227">
        <v>30</v>
      </c>
      <c r="O25" s="227"/>
      <c r="P25" s="227">
        <f t="shared" si="16"/>
        <v>30</v>
      </c>
      <c r="Q25" s="227">
        <v>50</v>
      </c>
      <c r="R25" s="227">
        <f t="shared" si="4"/>
        <v>25</v>
      </c>
      <c r="S25" s="227">
        <f t="shared" si="5"/>
        <v>25</v>
      </c>
      <c r="T25" s="227">
        <v>20</v>
      </c>
      <c r="U25" s="227">
        <f t="shared" si="6"/>
        <v>10</v>
      </c>
      <c r="V25" s="227">
        <f t="shared" si="7"/>
        <v>10</v>
      </c>
      <c r="W25" s="227">
        <v>25</v>
      </c>
      <c r="X25" s="227">
        <v>10</v>
      </c>
      <c r="Y25" s="227">
        <v>30</v>
      </c>
      <c r="Z25" s="227"/>
      <c r="AA25" s="227"/>
      <c r="AB25" s="227"/>
      <c r="AC25" s="227">
        <v>150</v>
      </c>
      <c r="AD25" s="227"/>
      <c r="AE25" s="227"/>
      <c r="AF25" s="227"/>
      <c r="AG25" s="227"/>
    </row>
    <row r="26" spans="1:46" ht="27" customHeight="1" x14ac:dyDescent="0.3">
      <c r="A26" s="100">
        <v>17</v>
      </c>
      <c r="B26" s="101" t="s">
        <v>233</v>
      </c>
      <c r="C26" s="227">
        <f t="shared" si="0"/>
        <v>175555</v>
      </c>
      <c r="D26" s="227">
        <f t="shared" si="1"/>
        <v>48000</v>
      </c>
      <c r="E26" s="227">
        <f t="shared" si="13"/>
        <v>102495</v>
      </c>
      <c r="F26" s="227">
        <f t="shared" si="17"/>
        <v>25060</v>
      </c>
      <c r="G26" s="227">
        <f t="shared" si="3"/>
        <v>9060</v>
      </c>
      <c r="H26" s="227">
        <f t="shared" si="14"/>
        <v>1305</v>
      </c>
      <c r="I26" s="227">
        <v>1300</v>
      </c>
      <c r="J26" s="227"/>
      <c r="K26" s="227">
        <f t="shared" si="15"/>
        <v>1300</v>
      </c>
      <c r="L26" s="227">
        <v>5</v>
      </c>
      <c r="M26" s="227">
        <v>0</v>
      </c>
      <c r="N26" s="227">
        <v>550</v>
      </c>
      <c r="O26" s="227"/>
      <c r="P26" s="227">
        <f t="shared" si="16"/>
        <v>550</v>
      </c>
      <c r="Q26" s="227">
        <v>6500</v>
      </c>
      <c r="R26" s="227">
        <f t="shared" si="4"/>
        <v>3250</v>
      </c>
      <c r="S26" s="227">
        <f t="shared" si="5"/>
        <v>3250</v>
      </c>
      <c r="T26" s="227">
        <v>6000</v>
      </c>
      <c r="U26" s="227">
        <f t="shared" si="6"/>
        <v>3000</v>
      </c>
      <c r="V26" s="227">
        <f t="shared" si="7"/>
        <v>3000</v>
      </c>
      <c r="W26" s="227">
        <v>220</v>
      </c>
      <c r="X26" s="227">
        <v>120</v>
      </c>
      <c r="Y26" s="227">
        <v>220</v>
      </c>
      <c r="Z26" s="227">
        <v>400</v>
      </c>
      <c r="AA26" s="227">
        <f>+Z26*60%</f>
        <v>240</v>
      </c>
      <c r="AB26" s="227">
        <f>+Z26*40%</f>
        <v>160</v>
      </c>
      <c r="AC26" s="227">
        <v>240</v>
      </c>
      <c r="AD26" s="227">
        <v>160000</v>
      </c>
      <c r="AE26" s="227">
        <f>+AD26*30%</f>
        <v>48000</v>
      </c>
      <c r="AF26" s="227">
        <f>+AD26*60%</f>
        <v>96000</v>
      </c>
      <c r="AG26" s="227">
        <f>+AD26*10%</f>
        <v>16000</v>
      </c>
    </row>
    <row r="27" spans="1:46" s="106" customFormat="1" ht="27" customHeight="1" x14ac:dyDescent="0.3">
      <c r="A27" s="103"/>
      <c r="B27" s="104" t="s">
        <v>7</v>
      </c>
      <c r="C27" s="103">
        <f>SUM(C10:C26)</f>
        <v>1093179</v>
      </c>
      <c r="D27" s="103">
        <f>SUM(D10:D26)</f>
        <v>300000</v>
      </c>
      <c r="E27" s="103">
        <f>SUM(E10:E26)</f>
        <v>633728.9</v>
      </c>
      <c r="F27" s="103">
        <f>SUM(F10:F26)</f>
        <v>159450.1</v>
      </c>
      <c r="G27" s="103">
        <f>SUM(G10:G26)</f>
        <v>59450.1</v>
      </c>
      <c r="H27" s="103">
        <f t="shared" ref="H27:AG27" si="18">SUM(H10:H26)</f>
        <v>11720</v>
      </c>
      <c r="I27" s="103">
        <f t="shared" si="18"/>
        <v>11623</v>
      </c>
      <c r="J27" s="103">
        <f t="shared" si="18"/>
        <v>1251.9000000000001</v>
      </c>
      <c r="K27" s="103">
        <f t="shared" si="18"/>
        <v>10371.1</v>
      </c>
      <c r="L27" s="103">
        <f t="shared" si="18"/>
        <v>47</v>
      </c>
      <c r="M27" s="103">
        <f t="shared" si="18"/>
        <v>50</v>
      </c>
      <c r="N27" s="103">
        <f t="shared" si="18"/>
        <v>6600</v>
      </c>
      <c r="O27" s="103">
        <f t="shared" si="18"/>
        <v>900</v>
      </c>
      <c r="P27" s="103">
        <f t="shared" si="18"/>
        <v>5700</v>
      </c>
      <c r="Q27" s="103">
        <f t="shared" si="18"/>
        <v>36000</v>
      </c>
      <c r="R27" s="103">
        <f t="shared" si="18"/>
        <v>18000</v>
      </c>
      <c r="S27" s="103">
        <f t="shared" si="18"/>
        <v>18000</v>
      </c>
      <c r="T27" s="103">
        <f t="shared" si="18"/>
        <v>26000</v>
      </c>
      <c r="U27" s="103">
        <f t="shared" si="18"/>
        <v>13000</v>
      </c>
      <c r="V27" s="103">
        <f t="shared" si="18"/>
        <v>13000</v>
      </c>
      <c r="W27" s="103">
        <f t="shared" si="18"/>
        <v>2340</v>
      </c>
      <c r="X27" s="103">
        <f t="shared" si="18"/>
        <v>1320</v>
      </c>
      <c r="Y27" s="103">
        <f t="shared" si="18"/>
        <v>4800</v>
      </c>
      <c r="Z27" s="103">
        <f t="shared" si="18"/>
        <v>800</v>
      </c>
      <c r="AA27" s="103">
        <f t="shared" si="18"/>
        <v>480</v>
      </c>
      <c r="AB27" s="103">
        <f t="shared" si="18"/>
        <v>320</v>
      </c>
      <c r="AC27" s="103">
        <f t="shared" si="18"/>
        <v>3600</v>
      </c>
      <c r="AD27" s="103">
        <f t="shared" si="18"/>
        <v>1000000</v>
      </c>
      <c r="AE27" s="103">
        <f t="shared" si="18"/>
        <v>300000</v>
      </c>
      <c r="AF27" s="103">
        <f t="shared" si="18"/>
        <v>600000</v>
      </c>
      <c r="AG27" s="103">
        <f t="shared" si="18"/>
        <v>100000</v>
      </c>
      <c r="AH27" s="97"/>
      <c r="AI27" s="97"/>
      <c r="AJ27" s="97"/>
      <c r="AK27" s="97"/>
      <c r="AL27" s="97"/>
      <c r="AM27" s="97"/>
      <c r="AN27" s="97"/>
      <c r="AO27" s="97"/>
      <c r="AP27" s="97"/>
      <c r="AQ27" s="97"/>
      <c r="AR27" s="97"/>
      <c r="AS27" s="97"/>
      <c r="AT27" s="97"/>
    </row>
  </sheetData>
  <mergeCells count="50">
    <mergeCell ref="A2:AG2"/>
    <mergeCell ref="A3:AG3"/>
    <mergeCell ref="A5:A9"/>
    <mergeCell ref="B5:B9"/>
    <mergeCell ref="C5:F5"/>
    <mergeCell ref="G5:G9"/>
    <mergeCell ref="H5:M6"/>
    <mergeCell ref="N5:P6"/>
    <mergeCell ref="Q5:S6"/>
    <mergeCell ref="T5:V6"/>
    <mergeCell ref="C6:C9"/>
    <mergeCell ref="D6:F6"/>
    <mergeCell ref="D7:D9"/>
    <mergeCell ref="E7:E9"/>
    <mergeCell ref="F7:F9"/>
    <mergeCell ref="W5:X6"/>
    <mergeCell ref="Y5:Y9"/>
    <mergeCell ref="Z5:AB6"/>
    <mergeCell ref="AC5:AC9"/>
    <mergeCell ref="AD5:AG6"/>
    <mergeCell ref="X7:X9"/>
    <mergeCell ref="AA8:AA9"/>
    <mergeCell ref="AB8:AB9"/>
    <mergeCell ref="AE8:AE9"/>
    <mergeCell ref="AF8:AF9"/>
    <mergeCell ref="AG8:AG9"/>
    <mergeCell ref="U8:U9"/>
    <mergeCell ref="V8:V9"/>
    <mergeCell ref="H7:H9"/>
    <mergeCell ref="I7:K7"/>
    <mergeCell ref="L7:L9"/>
    <mergeCell ref="M7:M9"/>
    <mergeCell ref="N7:N9"/>
    <mergeCell ref="O7:P7"/>
    <mergeCell ref="A1:B1"/>
    <mergeCell ref="Z7:Z9"/>
    <mergeCell ref="AA7:AB7"/>
    <mergeCell ref="AD7:AD9"/>
    <mergeCell ref="AE7:AG7"/>
    <mergeCell ref="I8:I9"/>
    <mergeCell ref="J8:K8"/>
    <mergeCell ref="O8:O9"/>
    <mergeCell ref="P8:P9"/>
    <mergeCell ref="R8:R9"/>
    <mergeCell ref="S8:S9"/>
    <mergeCell ref="Q7:Q9"/>
    <mergeCell ref="R7:S7"/>
    <mergeCell ref="T7:T9"/>
    <mergeCell ref="U7:V7"/>
    <mergeCell ref="W7:W9"/>
  </mergeCells>
  <pageMargins left="0.7" right="0.7" top="0.75" bottom="0.75" header="0.3" footer="0.3"/>
  <pageSetup paperSize="9" scale="4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8"/>
  <sheetViews>
    <sheetView view="pageBreakPreview" zoomScaleNormal="100" zoomScaleSheetLayoutView="100" workbookViewId="0">
      <selection activeCell="F32" sqref="F32"/>
    </sheetView>
  </sheetViews>
  <sheetFormatPr defaultColWidth="7.59765625" defaultRowHeight="15.6" x14ac:dyDescent="0.3"/>
  <cols>
    <col min="1" max="1" width="7.59765625" style="110"/>
    <col min="2" max="2" width="18" style="110" customWidth="1"/>
    <col min="3" max="3" width="12.19921875" style="110" hidden="1" customWidth="1"/>
    <col min="4" max="4" width="12.09765625" style="110" customWidth="1"/>
    <col min="5" max="15" width="7.59765625" style="109"/>
    <col min="16" max="250" width="7.59765625" style="110"/>
    <col min="251" max="253" width="7.59765625" style="108"/>
    <col min="254" max="254" width="18" style="108" customWidth="1"/>
    <col min="255" max="255" width="12.19921875" style="108" customWidth="1"/>
    <col min="256" max="256" width="9.69921875" style="108" customWidth="1"/>
    <col min="257" max="509" width="7.59765625" style="108"/>
    <col min="510" max="510" width="18" style="108" customWidth="1"/>
    <col min="511" max="511" width="12.19921875" style="108" customWidth="1"/>
    <col min="512" max="512" width="9.69921875" style="108" customWidth="1"/>
    <col min="513" max="765" width="7.59765625" style="108"/>
    <col min="766" max="766" width="18" style="108" customWidth="1"/>
    <col min="767" max="767" width="12.19921875" style="108" customWidth="1"/>
    <col min="768" max="768" width="9.69921875" style="108" customWidth="1"/>
    <col min="769" max="1021" width="7.59765625" style="108"/>
    <col min="1022" max="1022" width="18" style="108" customWidth="1"/>
    <col min="1023" max="1023" width="12.19921875" style="108" customWidth="1"/>
    <col min="1024" max="1024" width="9.69921875" style="108" customWidth="1"/>
    <col min="1025" max="1277" width="7.59765625" style="108"/>
    <col min="1278" max="1278" width="18" style="108" customWidth="1"/>
    <col min="1279" max="1279" width="12.19921875" style="108" customWidth="1"/>
    <col min="1280" max="1280" width="9.69921875" style="108" customWidth="1"/>
    <col min="1281" max="1533" width="7.59765625" style="108"/>
    <col min="1534" max="1534" width="18" style="108" customWidth="1"/>
    <col min="1535" max="1535" width="12.19921875" style="108" customWidth="1"/>
    <col min="1536" max="1536" width="9.69921875" style="108" customWidth="1"/>
    <col min="1537" max="1789" width="7.59765625" style="108"/>
    <col min="1790" max="1790" width="18" style="108" customWidth="1"/>
    <col min="1791" max="1791" width="12.19921875" style="108" customWidth="1"/>
    <col min="1792" max="1792" width="9.69921875" style="108" customWidth="1"/>
    <col min="1793" max="2045" width="7.59765625" style="108"/>
    <col min="2046" max="2046" width="18" style="108" customWidth="1"/>
    <col min="2047" max="2047" width="12.19921875" style="108" customWidth="1"/>
    <col min="2048" max="2048" width="9.69921875" style="108" customWidth="1"/>
    <col min="2049" max="2301" width="7.59765625" style="108"/>
    <col min="2302" max="2302" width="18" style="108" customWidth="1"/>
    <col min="2303" max="2303" width="12.19921875" style="108" customWidth="1"/>
    <col min="2304" max="2304" width="9.69921875" style="108" customWidth="1"/>
    <col min="2305" max="2557" width="7.59765625" style="108"/>
    <col min="2558" max="2558" width="18" style="108" customWidth="1"/>
    <col min="2559" max="2559" width="12.19921875" style="108" customWidth="1"/>
    <col min="2560" max="2560" width="9.69921875" style="108" customWidth="1"/>
    <col min="2561" max="2813" width="7.59765625" style="108"/>
    <col min="2814" max="2814" width="18" style="108" customWidth="1"/>
    <col min="2815" max="2815" width="12.19921875" style="108" customWidth="1"/>
    <col min="2816" max="2816" width="9.69921875" style="108" customWidth="1"/>
    <col min="2817" max="3069" width="7.59765625" style="108"/>
    <col min="3070" max="3070" width="18" style="108" customWidth="1"/>
    <col min="3071" max="3071" width="12.19921875" style="108" customWidth="1"/>
    <col min="3072" max="3072" width="9.69921875" style="108" customWidth="1"/>
    <col min="3073" max="3325" width="7.59765625" style="108"/>
    <col min="3326" max="3326" width="18" style="108" customWidth="1"/>
    <col min="3327" max="3327" width="12.19921875" style="108" customWidth="1"/>
    <col min="3328" max="3328" width="9.69921875" style="108" customWidth="1"/>
    <col min="3329" max="3581" width="7.59765625" style="108"/>
    <col min="3582" max="3582" width="18" style="108" customWidth="1"/>
    <col min="3583" max="3583" width="12.19921875" style="108" customWidth="1"/>
    <col min="3584" max="3584" width="9.69921875" style="108" customWidth="1"/>
    <col min="3585" max="3837" width="7.59765625" style="108"/>
    <col min="3838" max="3838" width="18" style="108" customWidth="1"/>
    <col min="3839" max="3839" width="12.19921875" style="108" customWidth="1"/>
    <col min="3840" max="3840" width="9.69921875" style="108" customWidth="1"/>
    <col min="3841" max="4093" width="7.59765625" style="108"/>
    <col min="4094" max="4094" width="18" style="108" customWidth="1"/>
    <col min="4095" max="4095" width="12.19921875" style="108" customWidth="1"/>
    <col min="4096" max="4096" width="9.69921875" style="108" customWidth="1"/>
    <col min="4097" max="4349" width="7.59765625" style="108"/>
    <col min="4350" max="4350" width="18" style="108" customWidth="1"/>
    <col min="4351" max="4351" width="12.19921875" style="108" customWidth="1"/>
    <col min="4352" max="4352" width="9.69921875" style="108" customWidth="1"/>
    <col min="4353" max="4605" width="7.59765625" style="108"/>
    <col min="4606" max="4606" width="18" style="108" customWidth="1"/>
    <col min="4607" max="4607" width="12.19921875" style="108" customWidth="1"/>
    <col min="4608" max="4608" width="9.69921875" style="108" customWidth="1"/>
    <col min="4609" max="4861" width="7.59765625" style="108"/>
    <col min="4862" max="4862" width="18" style="108" customWidth="1"/>
    <col min="4863" max="4863" width="12.19921875" style="108" customWidth="1"/>
    <col min="4864" max="4864" width="9.69921875" style="108" customWidth="1"/>
    <col min="4865" max="5117" width="7.59765625" style="108"/>
    <col min="5118" max="5118" width="18" style="108" customWidth="1"/>
    <col min="5119" max="5119" width="12.19921875" style="108" customWidth="1"/>
    <col min="5120" max="5120" width="9.69921875" style="108" customWidth="1"/>
    <col min="5121" max="5373" width="7.59765625" style="108"/>
    <col min="5374" max="5374" width="18" style="108" customWidth="1"/>
    <col min="5375" max="5375" width="12.19921875" style="108" customWidth="1"/>
    <col min="5376" max="5376" width="9.69921875" style="108" customWidth="1"/>
    <col min="5377" max="5629" width="7.59765625" style="108"/>
    <col min="5630" max="5630" width="18" style="108" customWidth="1"/>
    <col min="5631" max="5631" width="12.19921875" style="108" customWidth="1"/>
    <col min="5632" max="5632" width="9.69921875" style="108" customWidth="1"/>
    <col min="5633" max="5885" width="7.59765625" style="108"/>
    <col min="5886" max="5886" width="18" style="108" customWidth="1"/>
    <col min="5887" max="5887" width="12.19921875" style="108" customWidth="1"/>
    <col min="5888" max="5888" width="9.69921875" style="108" customWidth="1"/>
    <col min="5889" max="6141" width="7.59765625" style="108"/>
    <col min="6142" max="6142" width="18" style="108" customWidth="1"/>
    <col min="6143" max="6143" width="12.19921875" style="108" customWidth="1"/>
    <col min="6144" max="6144" width="9.69921875" style="108" customWidth="1"/>
    <col min="6145" max="6397" width="7.59765625" style="108"/>
    <col min="6398" max="6398" width="18" style="108" customWidth="1"/>
    <col min="6399" max="6399" width="12.19921875" style="108" customWidth="1"/>
    <col min="6400" max="6400" width="9.69921875" style="108" customWidth="1"/>
    <col min="6401" max="6653" width="7.59765625" style="108"/>
    <col min="6654" max="6654" width="18" style="108" customWidth="1"/>
    <col min="6655" max="6655" width="12.19921875" style="108" customWidth="1"/>
    <col min="6656" max="6656" width="9.69921875" style="108" customWidth="1"/>
    <col min="6657" max="6909" width="7.59765625" style="108"/>
    <col min="6910" max="6910" width="18" style="108" customWidth="1"/>
    <col min="6911" max="6911" width="12.19921875" style="108" customWidth="1"/>
    <col min="6912" max="6912" width="9.69921875" style="108" customWidth="1"/>
    <col min="6913" max="7165" width="7.59765625" style="108"/>
    <col min="7166" max="7166" width="18" style="108" customWidth="1"/>
    <col min="7167" max="7167" width="12.19921875" style="108" customWidth="1"/>
    <col min="7168" max="7168" width="9.69921875" style="108" customWidth="1"/>
    <col min="7169" max="7421" width="7.59765625" style="108"/>
    <col min="7422" max="7422" width="18" style="108" customWidth="1"/>
    <col min="7423" max="7423" width="12.19921875" style="108" customWidth="1"/>
    <col min="7424" max="7424" width="9.69921875" style="108" customWidth="1"/>
    <col min="7425" max="7677" width="7.59765625" style="108"/>
    <col min="7678" max="7678" width="18" style="108" customWidth="1"/>
    <col min="7679" max="7679" width="12.19921875" style="108" customWidth="1"/>
    <col min="7680" max="7680" width="9.69921875" style="108" customWidth="1"/>
    <col min="7681" max="7933" width="7.59765625" style="108"/>
    <col min="7934" max="7934" width="18" style="108" customWidth="1"/>
    <col min="7935" max="7935" width="12.19921875" style="108" customWidth="1"/>
    <col min="7936" max="7936" width="9.69921875" style="108" customWidth="1"/>
    <col min="7937" max="8189" width="7.59765625" style="108"/>
    <col min="8190" max="8190" width="18" style="108" customWidth="1"/>
    <col min="8191" max="8191" width="12.19921875" style="108" customWidth="1"/>
    <col min="8192" max="8192" width="9.69921875" style="108" customWidth="1"/>
    <col min="8193" max="8445" width="7.59765625" style="108"/>
    <col min="8446" max="8446" width="18" style="108" customWidth="1"/>
    <col min="8447" max="8447" width="12.19921875" style="108" customWidth="1"/>
    <col min="8448" max="8448" width="9.69921875" style="108" customWidth="1"/>
    <col min="8449" max="8701" width="7.59765625" style="108"/>
    <col min="8702" max="8702" width="18" style="108" customWidth="1"/>
    <col min="8703" max="8703" width="12.19921875" style="108" customWidth="1"/>
    <col min="8704" max="8704" width="9.69921875" style="108" customWidth="1"/>
    <col min="8705" max="8957" width="7.59765625" style="108"/>
    <col min="8958" max="8958" width="18" style="108" customWidth="1"/>
    <col min="8959" max="8959" width="12.19921875" style="108" customWidth="1"/>
    <col min="8960" max="8960" width="9.69921875" style="108" customWidth="1"/>
    <col min="8961" max="9213" width="7.59765625" style="108"/>
    <col min="9214" max="9214" width="18" style="108" customWidth="1"/>
    <col min="9215" max="9215" width="12.19921875" style="108" customWidth="1"/>
    <col min="9216" max="9216" width="9.69921875" style="108" customWidth="1"/>
    <col min="9217" max="9469" width="7.59765625" style="108"/>
    <col min="9470" max="9470" width="18" style="108" customWidth="1"/>
    <col min="9471" max="9471" width="12.19921875" style="108" customWidth="1"/>
    <col min="9472" max="9472" width="9.69921875" style="108" customWidth="1"/>
    <col min="9473" max="9725" width="7.59765625" style="108"/>
    <col min="9726" max="9726" width="18" style="108" customWidth="1"/>
    <col min="9727" max="9727" width="12.19921875" style="108" customWidth="1"/>
    <col min="9728" max="9728" width="9.69921875" style="108" customWidth="1"/>
    <col min="9729" max="9981" width="7.59765625" style="108"/>
    <col min="9982" max="9982" width="18" style="108" customWidth="1"/>
    <col min="9983" max="9983" width="12.19921875" style="108" customWidth="1"/>
    <col min="9984" max="9984" width="9.69921875" style="108" customWidth="1"/>
    <col min="9985" max="10237" width="7.59765625" style="108"/>
    <col min="10238" max="10238" width="18" style="108" customWidth="1"/>
    <col min="10239" max="10239" width="12.19921875" style="108" customWidth="1"/>
    <col min="10240" max="10240" width="9.69921875" style="108" customWidth="1"/>
    <col min="10241" max="10493" width="7.59765625" style="108"/>
    <col min="10494" max="10494" width="18" style="108" customWidth="1"/>
    <col min="10495" max="10495" width="12.19921875" style="108" customWidth="1"/>
    <col min="10496" max="10496" width="9.69921875" style="108" customWidth="1"/>
    <col min="10497" max="10749" width="7.59765625" style="108"/>
    <col min="10750" max="10750" width="18" style="108" customWidth="1"/>
    <col min="10751" max="10751" width="12.19921875" style="108" customWidth="1"/>
    <col min="10752" max="10752" width="9.69921875" style="108" customWidth="1"/>
    <col min="10753" max="11005" width="7.59765625" style="108"/>
    <col min="11006" max="11006" width="18" style="108" customWidth="1"/>
    <col min="11007" max="11007" width="12.19921875" style="108" customWidth="1"/>
    <col min="11008" max="11008" width="9.69921875" style="108" customWidth="1"/>
    <col min="11009" max="11261" width="7.59765625" style="108"/>
    <col min="11262" max="11262" width="18" style="108" customWidth="1"/>
    <col min="11263" max="11263" width="12.19921875" style="108" customWidth="1"/>
    <col min="11264" max="11264" width="9.69921875" style="108" customWidth="1"/>
    <col min="11265" max="11517" width="7.59765625" style="108"/>
    <col min="11518" max="11518" width="18" style="108" customWidth="1"/>
    <col min="11519" max="11519" width="12.19921875" style="108" customWidth="1"/>
    <col min="11520" max="11520" width="9.69921875" style="108" customWidth="1"/>
    <col min="11521" max="11773" width="7.59765625" style="108"/>
    <col min="11774" max="11774" width="18" style="108" customWidth="1"/>
    <col min="11775" max="11775" width="12.19921875" style="108" customWidth="1"/>
    <col min="11776" max="11776" width="9.69921875" style="108" customWidth="1"/>
    <col min="11777" max="12029" width="7.59765625" style="108"/>
    <col min="12030" max="12030" width="18" style="108" customWidth="1"/>
    <col min="12031" max="12031" width="12.19921875" style="108" customWidth="1"/>
    <col min="12032" max="12032" width="9.69921875" style="108" customWidth="1"/>
    <col min="12033" max="12285" width="7.59765625" style="108"/>
    <col min="12286" max="12286" width="18" style="108" customWidth="1"/>
    <col min="12287" max="12287" width="12.19921875" style="108" customWidth="1"/>
    <col min="12288" max="12288" width="9.69921875" style="108" customWidth="1"/>
    <col min="12289" max="12541" width="7.59765625" style="108"/>
    <col min="12542" max="12542" width="18" style="108" customWidth="1"/>
    <col min="12543" max="12543" width="12.19921875" style="108" customWidth="1"/>
    <col min="12544" max="12544" width="9.69921875" style="108" customWidth="1"/>
    <col min="12545" max="12797" width="7.59765625" style="108"/>
    <col min="12798" max="12798" width="18" style="108" customWidth="1"/>
    <col min="12799" max="12799" width="12.19921875" style="108" customWidth="1"/>
    <col min="12800" max="12800" width="9.69921875" style="108" customWidth="1"/>
    <col min="12801" max="13053" width="7.59765625" style="108"/>
    <col min="13054" max="13054" width="18" style="108" customWidth="1"/>
    <col min="13055" max="13055" width="12.19921875" style="108" customWidth="1"/>
    <col min="13056" max="13056" width="9.69921875" style="108" customWidth="1"/>
    <col min="13057" max="13309" width="7.59765625" style="108"/>
    <col min="13310" max="13310" width="18" style="108" customWidth="1"/>
    <col min="13311" max="13311" width="12.19921875" style="108" customWidth="1"/>
    <col min="13312" max="13312" width="9.69921875" style="108" customWidth="1"/>
    <col min="13313" max="13565" width="7.59765625" style="108"/>
    <col min="13566" max="13566" width="18" style="108" customWidth="1"/>
    <col min="13567" max="13567" width="12.19921875" style="108" customWidth="1"/>
    <col min="13568" max="13568" width="9.69921875" style="108" customWidth="1"/>
    <col min="13569" max="13821" width="7.59765625" style="108"/>
    <col min="13822" max="13822" width="18" style="108" customWidth="1"/>
    <col min="13823" max="13823" width="12.19921875" style="108" customWidth="1"/>
    <col min="13824" max="13824" width="9.69921875" style="108" customWidth="1"/>
    <col min="13825" max="14077" width="7.59765625" style="108"/>
    <col min="14078" max="14078" width="18" style="108" customWidth="1"/>
    <col min="14079" max="14079" width="12.19921875" style="108" customWidth="1"/>
    <col min="14080" max="14080" width="9.69921875" style="108" customWidth="1"/>
    <col min="14081" max="14333" width="7.59765625" style="108"/>
    <col min="14334" max="14334" width="18" style="108" customWidth="1"/>
    <col min="14335" max="14335" width="12.19921875" style="108" customWidth="1"/>
    <col min="14336" max="14336" width="9.69921875" style="108" customWidth="1"/>
    <col min="14337" max="14589" width="7.59765625" style="108"/>
    <col min="14590" max="14590" width="18" style="108" customWidth="1"/>
    <col min="14591" max="14591" width="12.19921875" style="108" customWidth="1"/>
    <col min="14592" max="14592" width="9.69921875" style="108" customWidth="1"/>
    <col min="14593" max="14845" width="7.59765625" style="108"/>
    <col min="14846" max="14846" width="18" style="108" customWidth="1"/>
    <col min="14847" max="14847" width="12.19921875" style="108" customWidth="1"/>
    <col min="14848" max="14848" width="9.69921875" style="108" customWidth="1"/>
    <col min="14849" max="15101" width="7.59765625" style="108"/>
    <col min="15102" max="15102" width="18" style="108" customWidth="1"/>
    <col min="15103" max="15103" width="12.19921875" style="108" customWidth="1"/>
    <col min="15104" max="15104" width="9.69921875" style="108" customWidth="1"/>
    <col min="15105" max="15357" width="7.59765625" style="108"/>
    <col min="15358" max="15358" width="18" style="108" customWidth="1"/>
    <col min="15359" max="15359" width="12.19921875" style="108" customWidth="1"/>
    <col min="15360" max="15360" width="9.69921875" style="108" customWidth="1"/>
    <col min="15361" max="15613" width="7.59765625" style="108"/>
    <col min="15614" max="15614" width="18" style="108" customWidth="1"/>
    <col min="15615" max="15615" width="12.19921875" style="108" customWidth="1"/>
    <col min="15616" max="15616" width="9.69921875" style="108" customWidth="1"/>
    <col min="15617" max="15869" width="7.59765625" style="108"/>
    <col min="15870" max="15870" width="18" style="108" customWidth="1"/>
    <col min="15871" max="15871" width="12.19921875" style="108" customWidth="1"/>
    <col min="15872" max="15872" width="9.69921875" style="108" customWidth="1"/>
    <col min="15873" max="16125" width="7.59765625" style="108"/>
    <col min="16126" max="16126" width="18" style="108" customWidth="1"/>
    <col min="16127" max="16127" width="12.19921875" style="108" customWidth="1"/>
    <col min="16128" max="16128" width="9.69921875" style="108" customWidth="1"/>
    <col min="16129" max="16384" width="7.59765625" style="108"/>
  </cols>
  <sheetData>
    <row r="1" spans="1:250" x14ac:dyDescent="0.3">
      <c r="A1" s="111" t="s">
        <v>192</v>
      </c>
      <c r="N1" s="544" t="s">
        <v>316</v>
      </c>
      <c r="O1" s="544"/>
    </row>
    <row r="2" spans="1:250" x14ac:dyDescent="0.3">
      <c r="A2" s="533" t="s">
        <v>329</v>
      </c>
      <c r="B2" s="533"/>
      <c r="C2" s="533"/>
      <c r="D2" s="533"/>
      <c r="E2" s="533"/>
      <c r="F2" s="533"/>
      <c r="G2" s="533"/>
      <c r="H2" s="533"/>
      <c r="I2" s="533"/>
      <c r="J2" s="533"/>
      <c r="K2" s="533"/>
      <c r="L2" s="533"/>
      <c r="M2" s="533"/>
      <c r="N2" s="533"/>
      <c r="O2" s="533"/>
      <c r="P2" s="206"/>
      <c r="Q2" s="206"/>
      <c r="R2" s="206"/>
      <c r="S2" s="206"/>
      <c r="T2" s="206"/>
      <c r="U2" s="206"/>
      <c r="V2" s="206"/>
      <c r="W2" s="206"/>
      <c r="X2" s="206"/>
      <c r="Y2" s="206"/>
      <c r="Z2" s="206"/>
    </row>
    <row r="3" spans="1:250" x14ac:dyDescent="0.3">
      <c r="N3" s="543" t="s">
        <v>149</v>
      </c>
      <c r="O3" s="543"/>
    </row>
    <row r="4" spans="1:250" s="124" customFormat="1" ht="66.75" customHeight="1" x14ac:dyDescent="0.3">
      <c r="A4" s="196" t="s">
        <v>1</v>
      </c>
      <c r="B4" s="196" t="s">
        <v>207</v>
      </c>
      <c r="C4" s="196"/>
      <c r="D4" s="196" t="s">
        <v>55</v>
      </c>
      <c r="E4" s="208" t="s">
        <v>56</v>
      </c>
      <c r="F4" s="208" t="s">
        <v>235</v>
      </c>
      <c r="G4" s="208" t="s">
        <v>236</v>
      </c>
      <c r="H4" s="208" t="s">
        <v>69</v>
      </c>
      <c r="I4" s="208" t="s">
        <v>72</v>
      </c>
      <c r="J4" s="208" t="s">
        <v>65</v>
      </c>
      <c r="K4" s="208" t="s">
        <v>66</v>
      </c>
      <c r="L4" s="208" t="s">
        <v>237</v>
      </c>
      <c r="M4" s="208" t="s">
        <v>238</v>
      </c>
      <c r="N4" s="208" t="s">
        <v>239</v>
      </c>
      <c r="O4" s="208" t="s">
        <v>159</v>
      </c>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c r="HX4" s="209"/>
      <c r="HY4" s="209"/>
      <c r="HZ4" s="209"/>
      <c r="IA4" s="209"/>
      <c r="IB4" s="209"/>
      <c r="IC4" s="209"/>
      <c r="ID4" s="209"/>
      <c r="IE4" s="209"/>
      <c r="IF4" s="209"/>
      <c r="IG4" s="209"/>
      <c r="IH4" s="209"/>
      <c r="II4" s="209"/>
      <c r="IJ4" s="209"/>
      <c r="IK4" s="209"/>
      <c r="IL4" s="209"/>
      <c r="IM4" s="209"/>
      <c r="IN4" s="209"/>
      <c r="IO4" s="209"/>
      <c r="IP4" s="209"/>
    </row>
    <row r="5" spans="1:250" x14ac:dyDescent="0.3">
      <c r="A5" s="207">
        <v>1</v>
      </c>
      <c r="B5" s="114" t="s">
        <v>217</v>
      </c>
      <c r="C5" s="114" t="e">
        <f>D5+#REF!+#REF!</f>
        <v>#REF!</v>
      </c>
      <c r="D5" s="114">
        <f>SUM(E5:O5)</f>
        <v>8803.6857101533587</v>
      </c>
      <c r="E5" s="114">
        <f>'[5]CT chi'!J10</f>
        <v>7058.9807617999995</v>
      </c>
      <c r="F5" s="114">
        <f>'[5]CT chi'!J34</f>
        <v>208.68976000000001</v>
      </c>
      <c r="G5" s="114">
        <f>'[5]CT chi'!J44</f>
        <v>83.7</v>
      </c>
      <c r="H5" s="114">
        <f>'[5]CT chi'!J47</f>
        <v>39.676769999999998</v>
      </c>
      <c r="I5" s="114">
        <f>'[5]CT chi'!J50</f>
        <v>383.41775999999999</v>
      </c>
      <c r="J5" s="114">
        <f>'[5]CT chi'!J59</f>
        <v>186.91860599999998</v>
      </c>
      <c r="K5" s="114">
        <f>'[5]CT chi'!J65</f>
        <v>80.001323999999997</v>
      </c>
      <c r="L5" s="114">
        <f>'[5]CT chi'!J69</f>
        <v>227.75904000000003</v>
      </c>
      <c r="M5" s="114">
        <f>'[5]CT chi'!J73</f>
        <v>99.867599999999996</v>
      </c>
      <c r="N5" s="114">
        <f>'[5]CT chi'!J77</f>
        <v>42.884301809</v>
      </c>
      <c r="O5" s="114">
        <f>'[5]CT chi'!H79</f>
        <v>391.78978654435997</v>
      </c>
    </row>
    <row r="6" spans="1:250" x14ac:dyDescent="0.3">
      <c r="A6" s="115">
        <v>2</v>
      </c>
      <c r="B6" s="112" t="s">
        <v>218</v>
      </c>
      <c r="C6" s="112" t="e">
        <f>D6+#REF!+#REF!</f>
        <v>#REF!</v>
      </c>
      <c r="D6" s="112">
        <f t="shared" ref="D6:D21" si="0">SUM(E6:O6)</f>
        <v>8383.4275581325637</v>
      </c>
      <c r="E6" s="112">
        <f>'[5]CT chi'!Q10</f>
        <v>5959.988675216001</v>
      </c>
      <c r="F6" s="112">
        <f>'[5]CT chi'!Q34</f>
        <v>265.60816</v>
      </c>
      <c r="G6" s="112">
        <f>'[5]CT chi'!Q44</f>
        <v>83.7</v>
      </c>
      <c r="H6" s="112">
        <f>'[5]CT chi'!Q47</f>
        <v>73.766069999999999</v>
      </c>
      <c r="I6" s="112">
        <f>'[5]CT chi'!Q50</f>
        <v>571.50456000000008</v>
      </c>
      <c r="J6" s="112">
        <f>'[5]CT chi'!Q59</f>
        <v>242.55273</v>
      </c>
      <c r="K6" s="112">
        <f>'[5]CT chi'!Q65</f>
        <v>148.73648399999999</v>
      </c>
      <c r="L6" s="112">
        <f>'[5]CT chi'!Q69</f>
        <v>434.58263999999997</v>
      </c>
      <c r="M6" s="112">
        <f>'[5]CT chi'!Q73</f>
        <v>180.65159999999997</v>
      </c>
      <c r="N6" s="112">
        <f>'[5]CT chi'!Q77</f>
        <v>41.187681296080001</v>
      </c>
      <c r="O6" s="112">
        <f>'[5]CT chi'!Q79</f>
        <v>381.1489576204832</v>
      </c>
    </row>
    <row r="7" spans="1:250" x14ac:dyDescent="0.3">
      <c r="A7" s="115">
        <v>3</v>
      </c>
      <c r="B7" s="112" t="s">
        <v>219</v>
      </c>
      <c r="C7" s="112" t="e">
        <f>D7+#REF!+#REF!</f>
        <v>#REF!</v>
      </c>
      <c r="D7" s="112">
        <f t="shared" si="0"/>
        <v>5158.1955135717271</v>
      </c>
      <c r="E7" s="112">
        <f>'[5]CT chi'!X10</f>
        <v>4056.2967456399992</v>
      </c>
      <c r="F7" s="112">
        <f>'[5]CT chi'!X34</f>
        <v>144.41242</v>
      </c>
      <c r="G7" s="112">
        <f>'[5]CT chi'!X44</f>
        <v>66.599999999999994</v>
      </c>
      <c r="H7" s="112">
        <f>'[5]CT chi'!X47</f>
        <v>25.459811999999999</v>
      </c>
      <c r="I7" s="112">
        <f>'[5]CT chi'!X50</f>
        <v>247.91309999999999</v>
      </c>
      <c r="J7" s="112">
        <f>'[5]CT chi'!X59</f>
        <v>125.46136399999999</v>
      </c>
      <c r="K7" s="112">
        <f>'[5]CT chi'!X65</f>
        <v>45.223399999999998</v>
      </c>
      <c r="L7" s="112">
        <f>'[5]CT chi'!X69</f>
        <v>142.94861999999998</v>
      </c>
      <c r="M7" s="112">
        <f>'[5]CT chi'!X73</f>
        <v>28.866</v>
      </c>
      <c r="N7" s="112">
        <f>'[5]CT chi'!X77</f>
        <v>24.890934948199995</v>
      </c>
      <c r="O7" s="112">
        <f>'[5]CT chi'!X79</f>
        <v>250.12311698352795</v>
      </c>
    </row>
    <row r="8" spans="1:250" x14ac:dyDescent="0.3">
      <c r="A8" s="115">
        <v>4</v>
      </c>
      <c r="B8" s="112" t="s">
        <v>220</v>
      </c>
      <c r="C8" s="112" t="e">
        <f>D8+#REF!+#REF!</f>
        <v>#REF!</v>
      </c>
      <c r="D8" s="112">
        <f t="shared" si="0"/>
        <v>4660.5874798460754</v>
      </c>
      <c r="E8" s="112">
        <f>'[5]CT chi'!AE10</f>
        <v>3411.49127563</v>
      </c>
      <c r="F8" s="112">
        <f>'[5]CT chi'!AE34</f>
        <v>135.23635000000002</v>
      </c>
      <c r="G8" s="112">
        <f>'[5]CT chi'!AE44</f>
        <v>66.599999999999994</v>
      </c>
      <c r="H8" s="112">
        <f>'[5]CT chi'!AE47</f>
        <v>29.860109999999999</v>
      </c>
      <c r="I8" s="112">
        <f>'[5]CT chi'!AE50</f>
        <v>366.73935</v>
      </c>
      <c r="J8" s="112">
        <f>'[5]CT chi'!AE59</f>
        <v>126.75023800000001</v>
      </c>
      <c r="K8" s="112">
        <f>'[5]CT chi'!AE65</f>
        <v>53.039499999999997</v>
      </c>
      <c r="L8" s="112">
        <f>'[5]CT chi'!AE69</f>
        <v>183.20985000000002</v>
      </c>
      <c r="M8" s="112">
        <f>'[5]CT chi'!AE73</f>
        <v>33.854999999999997</v>
      </c>
      <c r="N8" s="112">
        <f>'[5]CT chi'!AE77</f>
        <v>22.54489006815</v>
      </c>
      <c r="O8" s="112">
        <f>'[5]CT chi'!AE79</f>
        <v>231.260916147926</v>
      </c>
      <c r="AE8" s="110">
        <f>+AE11+AE38+AE41</f>
        <v>0</v>
      </c>
    </row>
    <row r="9" spans="1:250" x14ac:dyDescent="0.3">
      <c r="A9" s="115">
        <v>5</v>
      </c>
      <c r="B9" s="112" t="s">
        <v>221</v>
      </c>
      <c r="C9" s="112" t="e">
        <f>D9+#REF!+#REF!</f>
        <v>#REF!</v>
      </c>
      <c r="D9" s="112">
        <f t="shared" si="0"/>
        <v>5091.3693613797132</v>
      </c>
      <c r="E9" s="112">
        <f>'[5]CT chi'!AL10</f>
        <v>3864.2683885599999</v>
      </c>
      <c r="F9" s="112">
        <f>'[5]CT chi'!AL34</f>
        <v>165.41201000000001</v>
      </c>
      <c r="G9" s="112">
        <f>'[5]CT chi'!AL44</f>
        <v>66.599999999999994</v>
      </c>
      <c r="H9" s="112">
        <f>'[5]CT chi'!AL47</f>
        <v>30.669785999999998</v>
      </c>
      <c r="I9" s="112">
        <f>'[5]CT chi'!AL50</f>
        <v>281.39625000000001</v>
      </c>
      <c r="J9" s="112">
        <f>'[5]CT chi'!AL59</f>
        <v>130.66179400000001</v>
      </c>
      <c r="K9" s="112">
        <f>'[5]CT chi'!AL65</f>
        <v>54.477699999999999</v>
      </c>
      <c r="L9" s="112">
        <f>'[5]CT chi'!AL69</f>
        <v>190.61811000000003</v>
      </c>
      <c r="M9" s="112">
        <f>'[5]CT chi'!AL73</f>
        <v>34.773000000000003</v>
      </c>
      <c r="N9" s="112">
        <f>'[5]CT chi'!AL77</f>
        <v>24.611982612800006</v>
      </c>
      <c r="O9" s="112">
        <f>'[5]CT chi'!AL79</f>
        <v>247.88034020691205</v>
      </c>
    </row>
    <row r="10" spans="1:250" x14ac:dyDescent="0.3">
      <c r="A10" s="115">
        <v>6</v>
      </c>
      <c r="B10" s="112" t="s">
        <v>222</v>
      </c>
      <c r="C10" s="112" t="e">
        <f>D10+#REF!+#REF!</f>
        <v>#REF!</v>
      </c>
      <c r="D10" s="112">
        <f t="shared" si="0"/>
        <v>7175.6140705100161</v>
      </c>
      <c r="E10" s="112">
        <f>'[5]CT chi'!AS10</f>
        <v>5292.72238208</v>
      </c>
      <c r="F10" s="112">
        <f>'[5]CT chi'!AS34</f>
        <v>235.64958000000001</v>
      </c>
      <c r="G10" s="112">
        <f>'[5]CT chi'!AS44</f>
        <v>83.7</v>
      </c>
      <c r="H10" s="112">
        <f>'[5]CT chi'!AS47</f>
        <v>38.573387999999994</v>
      </c>
      <c r="I10" s="112">
        <f>'[5]CT chi'!AS50</f>
        <v>671.05770000000007</v>
      </c>
      <c r="J10" s="112">
        <f>'[5]CT chi'!AS59</f>
        <v>159.87637999999998</v>
      </c>
      <c r="K10" s="112">
        <f>'[5]CT chi'!AS65</f>
        <v>68.516599999999997</v>
      </c>
      <c r="L10" s="112">
        <f>'[5]CT chi'!AS69</f>
        <v>217.93337999999997</v>
      </c>
      <c r="M10" s="112">
        <f>'[5]CT chi'!AS73</f>
        <v>43.734000000000002</v>
      </c>
      <c r="N10" s="112">
        <f>'[5]CT chi'!AS77</f>
        <v>34.717993410399998</v>
      </c>
      <c r="O10" s="112">
        <f>'[5]CT chi'!AS79</f>
        <v>329.13266701961595</v>
      </c>
    </row>
    <row r="11" spans="1:250" x14ac:dyDescent="0.3">
      <c r="A11" s="115">
        <v>7</v>
      </c>
      <c r="B11" s="112" t="s">
        <v>223</v>
      </c>
      <c r="C11" s="112" t="e">
        <f>D11+#REF!+#REF!</f>
        <v>#REF!</v>
      </c>
      <c r="D11" s="112">
        <f t="shared" si="0"/>
        <v>5478.5595053306552</v>
      </c>
      <c r="E11" s="112">
        <f>'[5]CT chi'!AZ10</f>
        <v>4175.2604852799996</v>
      </c>
      <c r="F11" s="112">
        <f>'[5]CT chi'!AZ34</f>
        <v>155.78130999999999</v>
      </c>
      <c r="G11" s="112">
        <f>'[5]CT chi'!AZ44</f>
        <v>66.599999999999994</v>
      </c>
      <c r="H11" s="112">
        <f>'[5]CT chi'!AZ47</f>
        <v>29.690765999999996</v>
      </c>
      <c r="I11" s="112">
        <f>'[5]CT chi'!AZ50</f>
        <v>365.34255000000002</v>
      </c>
      <c r="J11" s="112">
        <f>'[5]CT chi'!AZ59</f>
        <v>128.65499</v>
      </c>
      <c r="K11" s="112">
        <f>'[5]CT chi'!AZ65</f>
        <v>52.738700000000001</v>
      </c>
      <c r="L11" s="112">
        <f>'[5]CT chi'!AZ69</f>
        <v>181.66040999999998</v>
      </c>
      <c r="M11" s="112">
        <f>'[5]CT chi'!AZ73</f>
        <v>33.662999999999997</v>
      </c>
      <c r="N11" s="112">
        <f>'[5]CT chi'!AZ77</f>
        <v>26.456559076399994</v>
      </c>
      <c r="O11" s="112">
        <f>'[5]CT chi'!AZ79</f>
        <v>262.71073497425596</v>
      </c>
    </row>
    <row r="12" spans="1:250" x14ac:dyDescent="0.3">
      <c r="A12" s="115">
        <v>8</v>
      </c>
      <c r="B12" s="112" t="s">
        <v>224</v>
      </c>
      <c r="C12" s="112" t="e">
        <f>D12+#REF!+#REF!</f>
        <v>#REF!</v>
      </c>
      <c r="D12" s="112">
        <f t="shared" si="0"/>
        <v>4464.2064823595192</v>
      </c>
      <c r="E12" s="112">
        <f>'[5]CT chi'!BG10</f>
        <v>3548.9529435999998</v>
      </c>
      <c r="F12" s="112">
        <f>'[5]CT chi'!BG34</f>
        <v>116.23132000000001</v>
      </c>
      <c r="G12" s="112">
        <f>'[5]CT chi'!BG44</f>
        <v>66.599999999999994</v>
      </c>
      <c r="H12" s="112">
        <f>'[5]CT chi'!BG47</f>
        <v>22.787351999999998</v>
      </c>
      <c r="I12" s="112">
        <f>'[5]CT chi'!BG50</f>
        <v>215.26499999999999</v>
      </c>
      <c r="J12" s="112">
        <f>'[5]CT chi'!BG59</f>
        <v>112.58526400000001</v>
      </c>
      <c r="K12" s="112">
        <f>'[5]CT chi'!BG65</f>
        <v>40.476399999999998</v>
      </c>
      <c r="L12" s="112">
        <f>'[5]CT chi'!BG69</f>
        <v>118.49652</v>
      </c>
      <c r="M12" s="112">
        <f>'[5]CT chi'!BG73</f>
        <v>25.835999999999999</v>
      </c>
      <c r="N12" s="112">
        <f>'[5]CT chi'!BG77</f>
        <v>21.789345438000002</v>
      </c>
      <c r="O12" s="112">
        <f>'[5]CT chi'!BG79</f>
        <v>175.18633732152</v>
      </c>
    </row>
    <row r="13" spans="1:250" x14ac:dyDescent="0.3">
      <c r="A13" s="115">
        <v>9</v>
      </c>
      <c r="B13" s="112" t="s">
        <v>225</v>
      </c>
      <c r="C13" s="112" t="e">
        <f>D13+#REF!+#REF!</f>
        <v>#REF!</v>
      </c>
      <c r="D13" s="112">
        <f t="shared" si="0"/>
        <v>5910.8631303422062</v>
      </c>
      <c r="E13" s="112">
        <f>'[5]CT chi'!BN10</f>
        <v>4538.2933590399998</v>
      </c>
      <c r="F13" s="112">
        <f>'[5]CT chi'!BN34</f>
        <v>184.21501999999998</v>
      </c>
      <c r="G13" s="112">
        <f>'[5]CT chi'!BN44</f>
        <v>66.599999999999994</v>
      </c>
      <c r="H13" s="112">
        <f>'[5]CT chi'!BN47</f>
        <v>29.852171999999999</v>
      </c>
      <c r="I13" s="112">
        <f>'[5]CT chi'!BN50</f>
        <v>427.88970000000006</v>
      </c>
      <c r="J13" s="112">
        <f>'[5]CT chi'!BN59</f>
        <v>133.96818799999997</v>
      </c>
      <c r="K13" s="112">
        <f>'[5]CT chi'!BN65</f>
        <v>53.025399999999998</v>
      </c>
      <c r="L13" s="112">
        <f>'[5]CT chi'!BN69</f>
        <v>183.13721999999999</v>
      </c>
      <c r="M13" s="112">
        <f>'[5]CT chi'!BN73</f>
        <v>33.845999999999997</v>
      </c>
      <c r="N13" s="112">
        <f>'[5]CT chi'!BN77</f>
        <v>28.765052135199998</v>
      </c>
      <c r="O13" s="112">
        <f>'[5]CT chi'!BN79</f>
        <v>231.27101916700798</v>
      </c>
    </row>
    <row r="14" spans="1:250" x14ac:dyDescent="0.3">
      <c r="A14" s="115">
        <v>10</v>
      </c>
      <c r="B14" s="112" t="s">
        <v>226</v>
      </c>
      <c r="C14" s="112" t="e">
        <f>D14+#REF!+#REF!</f>
        <v>#REF!</v>
      </c>
      <c r="D14" s="112">
        <f t="shared" si="0"/>
        <v>4848.6068190475999</v>
      </c>
      <c r="E14" s="112">
        <f>'[5]CT chi'!BU10</f>
        <v>3722.5115109999997</v>
      </c>
      <c r="F14" s="112">
        <f>'[5]CT chi'!BU34</f>
        <v>134.97327999999999</v>
      </c>
      <c r="G14" s="112">
        <f>'[5]CT chi'!BU44</f>
        <v>66.599999999999994</v>
      </c>
      <c r="H14" s="112">
        <f>'[5]CT chi'!BU47</f>
        <v>29.762207999999998</v>
      </c>
      <c r="I14" s="112">
        <f>'[5]CT chi'!BU50</f>
        <v>278.82240000000002</v>
      </c>
      <c r="J14" s="112">
        <f>'[5]CT chi'!BU59</f>
        <v>132.92163200000002</v>
      </c>
      <c r="K14" s="112">
        <f>'[5]CT chi'!BU65</f>
        <v>52.865600000000001</v>
      </c>
      <c r="L14" s="112">
        <f>'[5]CT chi'!BU69</f>
        <v>182.31407999999999</v>
      </c>
      <c r="M14" s="112">
        <f>'[5]CT chi'!BU73</f>
        <v>33.744</v>
      </c>
      <c r="N14" s="112">
        <f>'[5]CT chi'!BU77</f>
        <v>23.682755314999994</v>
      </c>
      <c r="O14" s="112">
        <f>'[5]CT chi'!BU79</f>
        <v>190.40935273259996</v>
      </c>
    </row>
    <row r="15" spans="1:250" x14ac:dyDescent="0.3">
      <c r="A15" s="115">
        <v>11</v>
      </c>
      <c r="B15" s="112" t="s">
        <v>227</v>
      </c>
      <c r="C15" s="112" t="e">
        <f>D15+#REF!+#REF!</f>
        <v>#REF!</v>
      </c>
      <c r="D15" s="112">
        <f t="shared" si="0"/>
        <v>4803.027025577072</v>
      </c>
      <c r="E15" s="112">
        <f>'[5]CT chi'!CB10</f>
        <v>3676.6623633999998</v>
      </c>
      <c r="F15" s="112">
        <f>'[5]CT chi'!CB34</f>
        <v>148.70645000000002</v>
      </c>
      <c r="G15" s="112">
        <f>'[5]CT chi'!CB44</f>
        <v>66.599999999999994</v>
      </c>
      <c r="H15" s="112">
        <f>'[5]CT chi'!CB47</f>
        <v>32.267969999999998</v>
      </c>
      <c r="I15" s="112">
        <f>'[5]CT chi'!CB50</f>
        <v>287.42205000000001</v>
      </c>
      <c r="J15" s="112">
        <f>'[5]CT chi'!CB59</f>
        <v>125.14389096000001</v>
      </c>
      <c r="K15" s="112">
        <f>'[5]CT chi'!CB65</f>
        <v>57.316499999999998</v>
      </c>
      <c r="L15" s="112">
        <f>'[5]CT chi'!CB69</f>
        <v>160.24095</v>
      </c>
      <c r="M15" s="112">
        <f>'[5]CT chi'!CB73</f>
        <v>36.585000000000001</v>
      </c>
      <c r="N15" s="112">
        <f>'[5]CT chi'!CB77</f>
        <v>23.460381771800002</v>
      </c>
      <c r="O15" s="112">
        <f>'[5]CT chi'!CB79</f>
        <v>188.62146944527203</v>
      </c>
    </row>
    <row r="16" spans="1:250" x14ac:dyDescent="0.3">
      <c r="A16" s="115">
        <v>12</v>
      </c>
      <c r="B16" s="112" t="s">
        <v>228</v>
      </c>
      <c r="C16" s="112" t="e">
        <f>D16+#REF!+#REF!</f>
        <v>#REF!</v>
      </c>
      <c r="D16" s="112">
        <f t="shared" si="0"/>
        <v>4676.4507855871179</v>
      </c>
      <c r="E16" s="112">
        <f>'[5]CT chi'!CI10</f>
        <v>3553.8507225999997</v>
      </c>
      <c r="F16" s="112">
        <f>'[5]CT chi'!CI34</f>
        <v>137.61108999999999</v>
      </c>
      <c r="G16" s="112">
        <f>'[5]CT chi'!CI44</f>
        <v>66.599999999999994</v>
      </c>
      <c r="H16" s="112">
        <f>'[5]CT chi'!CI47</f>
        <v>30.743874000000002</v>
      </c>
      <c r="I16" s="112">
        <f>'[5]CT chi'!CI50</f>
        <v>285.44684999999998</v>
      </c>
      <c r="J16" s="112">
        <f>'[5]CT chi'!CI59</f>
        <v>114.719418</v>
      </c>
      <c r="K16" s="112">
        <f>'[5]CT chi'!CI65</f>
        <v>54.609299999999998</v>
      </c>
      <c r="L16" s="112">
        <f>'[5]CT chi'!CI69</f>
        <v>191.29599000000002</v>
      </c>
      <c r="M16" s="112">
        <f>'[5]CT chi'!CI73</f>
        <v>34.856999999999999</v>
      </c>
      <c r="N16" s="112">
        <f>'[5]CT chi'!CI77</f>
        <v>22.866874003</v>
      </c>
      <c r="O16" s="112">
        <f>'[5]CT chi'!CI79</f>
        <v>183.84966698411998</v>
      </c>
    </row>
    <row r="17" spans="1:250" x14ac:dyDescent="0.3">
      <c r="A17" s="115">
        <v>13</v>
      </c>
      <c r="B17" s="112" t="s">
        <v>229</v>
      </c>
      <c r="C17" s="112" t="e">
        <f>D17+#REF!+#REF!</f>
        <v>#REF!</v>
      </c>
      <c r="D17" s="112">
        <f t="shared" si="0"/>
        <v>4638.0661505331036</v>
      </c>
      <c r="E17" s="112">
        <f>'[5]CT chi'!CP10</f>
        <v>3592.0805585200001</v>
      </c>
      <c r="F17" s="112">
        <f>'[5]CT chi'!CP34</f>
        <v>134.14852000000002</v>
      </c>
      <c r="G17" s="112">
        <f>'[5]CT chi'!CP44</f>
        <v>66.599999999999994</v>
      </c>
      <c r="H17" s="112">
        <f>'[5]CT chi'!CP47</f>
        <v>29.455271999999997</v>
      </c>
      <c r="I17" s="112">
        <f>'[5]CT chi'!CP50</f>
        <v>229.69499999999999</v>
      </c>
      <c r="J17" s="112">
        <f>'[5]CT chi'!CP59</f>
        <v>115.89916000000001</v>
      </c>
      <c r="K17" s="112">
        <f>'[5]CT chi'!CP65</f>
        <v>52.320399999999999</v>
      </c>
      <c r="L17" s="112">
        <f>'[5]CT chi'!CP69</f>
        <v>179.50572</v>
      </c>
      <c r="M17" s="112">
        <f>'[5]CT chi'!CP73</f>
        <v>33.396000000000001</v>
      </c>
      <c r="N17" s="112">
        <f>'[5]CT chi'!CP77</f>
        <v>22.673176992599991</v>
      </c>
      <c r="O17" s="112">
        <f>'[5]CT chi'!CP79</f>
        <v>182.29234302050395</v>
      </c>
    </row>
    <row r="18" spans="1:250" x14ac:dyDescent="0.3">
      <c r="A18" s="115">
        <v>14</v>
      </c>
      <c r="B18" s="112" t="s">
        <v>230</v>
      </c>
      <c r="C18" s="112" t="e">
        <f>D18+#REF!+#REF!</f>
        <v>#REF!</v>
      </c>
      <c r="D18" s="112">
        <f t="shared" si="0"/>
        <v>5112.141039434975</v>
      </c>
      <c r="E18" s="112">
        <f>'[5]CT chi'!CW10</f>
        <v>4018.1233568799998</v>
      </c>
      <c r="F18" s="112">
        <f>'[5]CT chi'!CW34</f>
        <v>134.35512</v>
      </c>
      <c r="G18" s="112">
        <f>'[5]CT chi'!CW44</f>
        <v>66.599999999999994</v>
      </c>
      <c r="H18" s="112">
        <f>'[5]CT chi'!CW47</f>
        <v>24.322032</v>
      </c>
      <c r="I18" s="112">
        <f>'[5]CT chi'!CW50</f>
        <v>331.56240000000003</v>
      </c>
      <c r="J18" s="112">
        <f>'[5]CT chi'!CW59</f>
        <v>108.75713999999999</v>
      </c>
      <c r="K18" s="112">
        <f>'[5]CT chi'!CW65</f>
        <v>43.202399999999997</v>
      </c>
      <c r="L18" s="112">
        <f>'[5]CT chi'!CW69</f>
        <v>132.53832</v>
      </c>
      <c r="M18" s="112">
        <f>'[5]CT chi'!CW73</f>
        <v>27.576000000000001</v>
      </c>
      <c r="N18" s="112">
        <f>'[5]CT chi'!CW77</f>
        <v>24.900914884399999</v>
      </c>
      <c r="O18" s="112">
        <f>'[5]CT chi'!CW79</f>
        <v>200.203355670576</v>
      </c>
    </row>
    <row r="19" spans="1:250" x14ac:dyDescent="0.3">
      <c r="A19" s="115">
        <v>15</v>
      </c>
      <c r="B19" s="113" t="s">
        <v>231</v>
      </c>
      <c r="C19" s="112" t="e">
        <f>D19+#REF!+#REF!</f>
        <v>#REF!</v>
      </c>
      <c r="D19" s="112">
        <f t="shared" si="0"/>
        <v>4951.9639841116968</v>
      </c>
      <c r="E19" s="112">
        <f>'[5]CT chi'!DD10</f>
        <v>3825.5064974799998</v>
      </c>
      <c r="F19" s="112">
        <f>'[5]CT chi'!DD34</f>
        <v>144.74994000000001</v>
      </c>
      <c r="G19" s="112">
        <f>'[5]CT chi'!DD44</f>
        <v>66.599999999999994</v>
      </c>
      <c r="H19" s="112">
        <f>'[5]CT chi'!DD47</f>
        <v>28.190483999999998</v>
      </c>
      <c r="I19" s="112">
        <f>'[5]CT chi'!DD50</f>
        <v>336.8433</v>
      </c>
      <c r="J19" s="112">
        <f>'[5]CT chi'!DD59</f>
        <v>120.08766799999999</v>
      </c>
      <c r="K19" s="112">
        <f>'[5]CT chi'!DD65</f>
        <v>50.073799999999999</v>
      </c>
      <c r="L19" s="112">
        <f>'[5]CT chi'!DD69</f>
        <v>129.68334000000002</v>
      </c>
      <c r="M19" s="112">
        <f>'[5]CT chi'!DD73</f>
        <v>31.962</v>
      </c>
      <c r="N19" s="112">
        <f>'[5]CT chi'!DD77</f>
        <v>24.144574627400004</v>
      </c>
      <c r="O19" s="112">
        <f>'[5]CT chi'!DD79</f>
        <v>194.12238000429602</v>
      </c>
    </row>
    <row r="20" spans="1:250" x14ac:dyDescent="0.3">
      <c r="A20" s="115">
        <v>16</v>
      </c>
      <c r="B20" s="112" t="s">
        <v>232</v>
      </c>
      <c r="C20" s="112" t="e">
        <f>D20+#REF!+#REF!</f>
        <v>#REF!</v>
      </c>
      <c r="D20" s="112">
        <f t="shared" si="0"/>
        <v>4460.9738642159828</v>
      </c>
      <c r="E20" s="112">
        <f>'[5]CT chi'!DK10</f>
        <v>3261.3055649199996</v>
      </c>
      <c r="F20" s="112">
        <f>'[5]CT chi'!DK34</f>
        <v>102.11756</v>
      </c>
      <c r="G20" s="112">
        <f>'[5]CT chi'!DK44</f>
        <v>66.599999999999994</v>
      </c>
      <c r="H20" s="112">
        <f>'[5]CT chi'!DK47</f>
        <v>22.745016</v>
      </c>
      <c r="I20" s="112">
        <f>'[5]CT chi'!DK50</f>
        <v>530.85239999999999</v>
      </c>
      <c r="J20" s="112">
        <f>'[5]CT chi'!DK59</f>
        <v>96.222067999999993</v>
      </c>
      <c r="K20" s="112">
        <f>'[5]CT chi'!DK65</f>
        <v>40.401200000000003</v>
      </c>
      <c r="L20" s="112">
        <f>'[5]CT chi'!DK69</f>
        <v>118.10916</v>
      </c>
      <c r="M20" s="112">
        <f>'[5]CT chi'!DK73</f>
        <v>25.788</v>
      </c>
      <c r="N20" s="112">
        <f>'[5]CT chi'!DK77</f>
        <v>21.773550364599991</v>
      </c>
      <c r="O20" s="112">
        <f>'[5]CT chi'!DK79</f>
        <v>175.05934493138395</v>
      </c>
    </row>
    <row r="21" spans="1:250" x14ac:dyDescent="0.3">
      <c r="A21" s="116">
        <v>17</v>
      </c>
      <c r="B21" s="117" t="s">
        <v>233</v>
      </c>
      <c r="C21" s="117" t="e">
        <f>D21+#REF!+#REF!</f>
        <v>#REF!</v>
      </c>
      <c r="D21" s="117">
        <f t="shared" si="0"/>
        <v>5318.4261318705285</v>
      </c>
      <c r="E21" s="117">
        <f>'[5]CT chi'!DR10</f>
        <v>4125.0145026399996</v>
      </c>
      <c r="F21" s="117">
        <f>'[5]CT chi'!DR34</f>
        <v>190.60608999999999</v>
      </c>
      <c r="G21" s="117">
        <f>'[5]CT chi'!DR44</f>
        <v>66.599999999999994</v>
      </c>
      <c r="H21" s="117">
        <f>'[5]CT chi'!DR47</f>
        <v>42.650874000000002</v>
      </c>
      <c r="I21" s="117">
        <f>'[5]CT chi'!DR50</f>
        <v>169.47884999999999</v>
      </c>
      <c r="J21" s="117">
        <f>'[5]CT chi'!DR59</f>
        <v>154.830546</v>
      </c>
      <c r="K21" s="117">
        <f>'[5]CT chi'!DR65</f>
        <v>75.759299999999996</v>
      </c>
      <c r="L21" s="117">
        <f>'[5]CT chi'!DR69</f>
        <v>210.24098999999998</v>
      </c>
      <c r="M21" s="117">
        <f>'[5]CT chi'!DR73</f>
        <v>48.356999999999999</v>
      </c>
      <c r="N21" s="117">
        <f>'[5]CT chi'!DR77</f>
        <v>25.983183543199999</v>
      </c>
      <c r="O21" s="117">
        <f>'[5]CT chi'!DR79</f>
        <v>208.90479568732798</v>
      </c>
    </row>
    <row r="22" spans="1:250" s="35" customFormat="1" ht="27" customHeight="1" x14ac:dyDescent="0.3">
      <c r="A22" s="198"/>
      <c r="B22" s="198" t="s">
        <v>7</v>
      </c>
      <c r="C22" s="198" t="e">
        <f>SUM(C5:C21)</f>
        <v>#REF!</v>
      </c>
      <c r="D22" s="198">
        <f>SUM(D5:D21)</f>
        <v>93936.164612003922</v>
      </c>
      <c r="E22" s="198">
        <f>SUM(E5:E21)</f>
        <v>71681.310094285989</v>
      </c>
      <c r="F22" s="198">
        <f>SUM(F5:F21)</f>
        <v>2738.5039800000004</v>
      </c>
      <c r="G22" s="198">
        <f t="shared" ref="G22:N22" si="1">SUM(G5:G21)</f>
        <v>1183.5</v>
      </c>
      <c r="H22" s="198">
        <f t="shared" si="1"/>
        <v>560.47395599999993</v>
      </c>
      <c r="I22" s="198">
        <f t="shared" si="1"/>
        <v>5980.6492200000002</v>
      </c>
      <c r="J22" s="198">
        <f t="shared" si="1"/>
        <v>2316.0110769600001</v>
      </c>
      <c r="K22" s="198">
        <f t="shared" si="1"/>
        <v>1022.7840079999999</v>
      </c>
      <c r="L22" s="198">
        <f t="shared" si="1"/>
        <v>3184.2743399999999</v>
      </c>
      <c r="M22" s="198">
        <f t="shared" si="1"/>
        <v>787.35719999999992</v>
      </c>
      <c r="N22" s="198">
        <f t="shared" si="1"/>
        <v>457.33415229623006</v>
      </c>
      <c r="O22" s="198">
        <f>SUM(O5:O21)+1</f>
        <v>4024.9665844616889</v>
      </c>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c r="FF22" s="210"/>
      <c r="FG22" s="210"/>
      <c r="FH22" s="210"/>
      <c r="FI22" s="210"/>
      <c r="FJ22" s="210"/>
      <c r="FK22" s="210"/>
      <c r="FL22" s="210"/>
      <c r="FM22" s="210"/>
      <c r="FN22" s="210"/>
      <c r="FO22" s="210"/>
      <c r="FP22" s="210"/>
      <c r="FQ22" s="210"/>
      <c r="FR22" s="210"/>
      <c r="FS22" s="210"/>
      <c r="FT22" s="210"/>
      <c r="FU22" s="210"/>
      <c r="FV22" s="210"/>
      <c r="FW22" s="210"/>
      <c r="FX22" s="210"/>
      <c r="FY22" s="210"/>
      <c r="FZ22" s="210"/>
      <c r="GA22" s="210"/>
      <c r="GB22" s="210"/>
      <c r="GC22" s="210"/>
      <c r="GD22" s="210"/>
      <c r="GE22" s="210"/>
      <c r="GF22" s="210"/>
      <c r="GG22" s="210"/>
      <c r="GH22" s="210"/>
      <c r="GI22" s="210"/>
      <c r="GJ22" s="210"/>
      <c r="GK22" s="210"/>
      <c r="GL22" s="210"/>
      <c r="GM22" s="210"/>
      <c r="GN22" s="210"/>
      <c r="GO22" s="210"/>
      <c r="GP22" s="210"/>
      <c r="GQ22" s="210"/>
      <c r="GR22" s="210"/>
      <c r="GS22" s="210"/>
      <c r="GT22" s="210"/>
      <c r="GU22" s="210"/>
      <c r="GV22" s="210"/>
      <c r="GW22" s="210"/>
      <c r="GX22" s="210"/>
      <c r="GY22" s="210"/>
      <c r="GZ22" s="210"/>
      <c r="HA22" s="210"/>
      <c r="HB22" s="210"/>
      <c r="HC22" s="210"/>
      <c r="HD22" s="210"/>
      <c r="HE22" s="210"/>
      <c r="HF22" s="210"/>
      <c r="HG22" s="210"/>
      <c r="HH22" s="210"/>
      <c r="HI22" s="210"/>
      <c r="HJ22" s="210"/>
      <c r="HK22" s="210"/>
      <c r="HL22" s="210"/>
      <c r="HM22" s="210"/>
      <c r="HN22" s="210"/>
      <c r="HO22" s="210"/>
      <c r="HP22" s="210"/>
      <c r="HQ22" s="210"/>
      <c r="HR22" s="210"/>
      <c r="HS22" s="210"/>
      <c r="HT22" s="210"/>
      <c r="HU22" s="210"/>
      <c r="HV22" s="210"/>
      <c r="HW22" s="210"/>
      <c r="HX22" s="210"/>
      <c r="HY22" s="210"/>
      <c r="HZ22" s="210"/>
      <c r="IA22" s="210"/>
      <c r="IB22" s="210"/>
      <c r="IC22" s="210"/>
      <c r="ID22" s="210"/>
      <c r="IE22" s="210"/>
      <c r="IF22" s="210"/>
      <c r="IG22" s="210"/>
      <c r="IH22" s="210"/>
      <c r="II22" s="210"/>
      <c r="IJ22" s="210"/>
      <c r="IK22" s="210"/>
      <c r="IL22" s="210"/>
      <c r="IM22" s="210"/>
      <c r="IN22" s="210"/>
      <c r="IO22" s="210"/>
      <c r="IP22" s="210"/>
    </row>
    <row r="26" spans="1:250" x14ac:dyDescent="0.3">
      <c r="D26" s="205"/>
    </row>
    <row r="38" spans="1:250" s="213" customFormat="1" x14ac:dyDescent="0.3">
      <c r="A38" s="111"/>
      <c r="B38" s="111"/>
      <c r="C38" s="111"/>
      <c r="D38" s="111"/>
      <c r="E38" s="214"/>
      <c r="F38" s="214"/>
      <c r="G38" s="214"/>
      <c r="H38" s="214"/>
      <c r="I38" s="214"/>
      <c r="J38" s="214"/>
      <c r="K38" s="214"/>
      <c r="L38" s="214"/>
      <c r="M38" s="214"/>
      <c r="N38" s="214"/>
      <c r="O38" s="214"/>
      <c r="P38" s="111"/>
      <c r="Q38" s="111"/>
      <c r="R38" s="111"/>
      <c r="S38" s="111"/>
      <c r="T38" s="111"/>
      <c r="U38" s="111"/>
      <c r="V38" s="111"/>
      <c r="W38" s="111"/>
      <c r="X38" s="111"/>
      <c r="Y38" s="111"/>
      <c r="Z38" s="111">
        <f>+AA38+AB38+AC38+AD38</f>
        <v>0</v>
      </c>
      <c r="AA38" s="111"/>
      <c r="AB38" s="111"/>
      <c r="AC38" s="111">
        <f>+AC39+AC40</f>
        <v>0</v>
      </c>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c r="GR38" s="111"/>
      <c r="GS38" s="111"/>
      <c r="GT38" s="111"/>
      <c r="GU38" s="111"/>
      <c r="GV38" s="111"/>
      <c r="GW38" s="111"/>
      <c r="GX38" s="111"/>
      <c r="GY38" s="111"/>
      <c r="GZ38" s="111"/>
      <c r="HA38" s="111"/>
      <c r="HB38" s="111"/>
      <c r="HC38" s="111"/>
      <c r="HD38" s="111"/>
      <c r="HE38" s="111"/>
      <c r="HF38" s="111"/>
      <c r="HG38" s="111"/>
      <c r="HH38" s="111"/>
      <c r="HI38" s="111"/>
      <c r="HJ38" s="111"/>
      <c r="HK38" s="111"/>
      <c r="HL38" s="111"/>
      <c r="HM38" s="111"/>
      <c r="HN38" s="111"/>
      <c r="HO38" s="111"/>
      <c r="HP38" s="111"/>
      <c r="HQ38" s="111"/>
      <c r="HR38" s="111"/>
      <c r="HS38" s="111"/>
      <c r="HT38" s="111"/>
      <c r="HU38" s="111"/>
      <c r="HV38" s="111"/>
      <c r="HW38" s="111"/>
      <c r="HX38" s="111"/>
      <c r="HY38" s="111"/>
      <c r="HZ38" s="111"/>
      <c r="IA38" s="111"/>
      <c r="IB38" s="111"/>
      <c r="IC38" s="111"/>
      <c r="ID38" s="111"/>
      <c r="IE38" s="111"/>
      <c r="IF38" s="111"/>
      <c r="IG38" s="111"/>
      <c r="IH38" s="111"/>
      <c r="II38" s="111"/>
      <c r="IJ38" s="111"/>
      <c r="IK38" s="111"/>
      <c r="IL38" s="111"/>
      <c r="IM38" s="111"/>
      <c r="IN38" s="111"/>
      <c r="IO38" s="111"/>
      <c r="IP38" s="111"/>
    </row>
  </sheetData>
  <mergeCells count="3">
    <mergeCell ref="A2:O2"/>
    <mergeCell ref="N3:O3"/>
    <mergeCell ref="N1:O1"/>
  </mergeCells>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8"/>
  <sheetViews>
    <sheetView topLeftCell="B1" workbookViewId="0">
      <selection activeCell="F32" sqref="F32"/>
    </sheetView>
  </sheetViews>
  <sheetFormatPr defaultColWidth="7.59765625" defaultRowHeight="15.6" x14ac:dyDescent="0.3"/>
  <cols>
    <col min="1" max="1" width="1.3984375" style="110" hidden="1" customWidth="1"/>
    <col min="2" max="2" width="3.8984375" style="110" customWidth="1"/>
    <col min="3" max="3" width="18" style="110" customWidth="1"/>
    <col min="4" max="4" width="11.09765625" style="110" customWidth="1"/>
    <col min="5" max="5" width="10.5" style="110" customWidth="1"/>
    <col min="6" max="6" width="8.19921875" style="109" customWidth="1"/>
    <col min="7" max="7" width="7.19921875" style="109" customWidth="1"/>
    <col min="8" max="8" width="8" style="109" customWidth="1"/>
    <col min="9" max="9" width="6.19921875" style="109" customWidth="1"/>
    <col min="10" max="10" width="7.19921875" style="109" customWidth="1"/>
    <col min="11" max="12" width="7.5" style="109" customWidth="1"/>
    <col min="13" max="13" width="7.09765625" style="109" customWidth="1"/>
    <col min="14" max="15" width="6.19921875" style="109" customWidth="1"/>
    <col min="16" max="16" width="7.5" style="109" customWidth="1"/>
    <col min="17" max="17" width="9.59765625" style="109" customWidth="1"/>
    <col min="18" max="251" width="7.59765625" style="110"/>
    <col min="252" max="256" width="7.59765625" style="108"/>
    <col min="257" max="257" width="1.3984375" style="108" customWidth="1"/>
    <col min="258" max="258" width="3.8984375" style="108" customWidth="1"/>
    <col min="259" max="259" width="18" style="108" customWidth="1"/>
    <col min="260" max="260" width="11.09765625" style="108" customWidth="1"/>
    <col min="261" max="261" width="10.5" style="108" customWidth="1"/>
    <col min="262" max="262" width="7.3984375" style="108" customWidth="1"/>
    <col min="263" max="272" width="6.19921875" style="108" customWidth="1"/>
    <col min="273" max="273" width="9.59765625" style="108" customWidth="1"/>
    <col min="274" max="512" width="7.59765625" style="108"/>
    <col min="513" max="513" width="1.3984375" style="108" customWidth="1"/>
    <col min="514" max="514" width="3.8984375" style="108" customWidth="1"/>
    <col min="515" max="515" width="18" style="108" customWidth="1"/>
    <col min="516" max="516" width="11.09765625" style="108" customWidth="1"/>
    <col min="517" max="517" width="10.5" style="108" customWidth="1"/>
    <col min="518" max="518" width="7.3984375" style="108" customWidth="1"/>
    <col min="519" max="528" width="6.19921875" style="108" customWidth="1"/>
    <col min="529" max="529" width="9.59765625" style="108" customWidth="1"/>
    <col min="530" max="768" width="7.59765625" style="108"/>
    <col min="769" max="769" width="1.3984375" style="108" customWidth="1"/>
    <col min="770" max="770" width="3.8984375" style="108" customWidth="1"/>
    <col min="771" max="771" width="18" style="108" customWidth="1"/>
    <col min="772" max="772" width="11.09765625" style="108" customWidth="1"/>
    <col min="773" max="773" width="10.5" style="108" customWidth="1"/>
    <col min="774" max="774" width="7.3984375" style="108" customWidth="1"/>
    <col min="775" max="784" width="6.19921875" style="108" customWidth="1"/>
    <col min="785" max="785" width="9.59765625" style="108" customWidth="1"/>
    <col min="786" max="1024" width="7.59765625" style="108"/>
    <col min="1025" max="1025" width="1.3984375" style="108" customWidth="1"/>
    <col min="1026" max="1026" width="3.8984375" style="108" customWidth="1"/>
    <col min="1027" max="1027" width="18" style="108" customWidth="1"/>
    <col min="1028" max="1028" width="11.09765625" style="108" customWidth="1"/>
    <col min="1029" max="1029" width="10.5" style="108" customWidth="1"/>
    <col min="1030" max="1030" width="7.3984375" style="108" customWidth="1"/>
    <col min="1031" max="1040" width="6.19921875" style="108" customWidth="1"/>
    <col min="1041" max="1041" width="9.59765625" style="108" customWidth="1"/>
    <col min="1042" max="1280" width="7.59765625" style="108"/>
    <col min="1281" max="1281" width="1.3984375" style="108" customWidth="1"/>
    <col min="1282" max="1282" width="3.8984375" style="108" customWidth="1"/>
    <col min="1283" max="1283" width="18" style="108" customWidth="1"/>
    <col min="1284" max="1284" width="11.09765625" style="108" customWidth="1"/>
    <col min="1285" max="1285" width="10.5" style="108" customWidth="1"/>
    <col min="1286" max="1286" width="7.3984375" style="108" customWidth="1"/>
    <col min="1287" max="1296" width="6.19921875" style="108" customWidth="1"/>
    <col min="1297" max="1297" width="9.59765625" style="108" customWidth="1"/>
    <col min="1298" max="1536" width="7.59765625" style="108"/>
    <col min="1537" max="1537" width="1.3984375" style="108" customWidth="1"/>
    <col min="1538" max="1538" width="3.8984375" style="108" customWidth="1"/>
    <col min="1539" max="1539" width="18" style="108" customWidth="1"/>
    <col min="1540" max="1540" width="11.09765625" style="108" customWidth="1"/>
    <col min="1541" max="1541" width="10.5" style="108" customWidth="1"/>
    <col min="1542" max="1542" width="7.3984375" style="108" customWidth="1"/>
    <col min="1543" max="1552" width="6.19921875" style="108" customWidth="1"/>
    <col min="1553" max="1553" width="9.59765625" style="108" customWidth="1"/>
    <col min="1554" max="1792" width="7.59765625" style="108"/>
    <col min="1793" max="1793" width="1.3984375" style="108" customWidth="1"/>
    <col min="1794" max="1794" width="3.8984375" style="108" customWidth="1"/>
    <col min="1795" max="1795" width="18" style="108" customWidth="1"/>
    <col min="1796" max="1796" width="11.09765625" style="108" customWidth="1"/>
    <col min="1797" max="1797" width="10.5" style="108" customWidth="1"/>
    <col min="1798" max="1798" width="7.3984375" style="108" customWidth="1"/>
    <col min="1799" max="1808" width="6.19921875" style="108" customWidth="1"/>
    <col min="1809" max="1809" width="9.59765625" style="108" customWidth="1"/>
    <col min="1810" max="2048" width="7.59765625" style="108"/>
    <col min="2049" max="2049" width="1.3984375" style="108" customWidth="1"/>
    <col min="2050" max="2050" width="3.8984375" style="108" customWidth="1"/>
    <col min="2051" max="2051" width="18" style="108" customWidth="1"/>
    <col min="2052" max="2052" width="11.09765625" style="108" customWidth="1"/>
    <col min="2053" max="2053" width="10.5" style="108" customWidth="1"/>
    <col min="2054" max="2054" width="7.3984375" style="108" customWidth="1"/>
    <col min="2055" max="2064" width="6.19921875" style="108" customWidth="1"/>
    <col min="2065" max="2065" width="9.59765625" style="108" customWidth="1"/>
    <col min="2066" max="2304" width="7.59765625" style="108"/>
    <col min="2305" max="2305" width="1.3984375" style="108" customWidth="1"/>
    <col min="2306" max="2306" width="3.8984375" style="108" customWidth="1"/>
    <col min="2307" max="2307" width="18" style="108" customWidth="1"/>
    <col min="2308" max="2308" width="11.09765625" style="108" customWidth="1"/>
    <col min="2309" max="2309" width="10.5" style="108" customWidth="1"/>
    <col min="2310" max="2310" width="7.3984375" style="108" customWidth="1"/>
    <col min="2311" max="2320" width="6.19921875" style="108" customWidth="1"/>
    <col min="2321" max="2321" width="9.59765625" style="108" customWidth="1"/>
    <col min="2322" max="2560" width="7.59765625" style="108"/>
    <col min="2561" max="2561" width="1.3984375" style="108" customWidth="1"/>
    <col min="2562" max="2562" width="3.8984375" style="108" customWidth="1"/>
    <col min="2563" max="2563" width="18" style="108" customWidth="1"/>
    <col min="2564" max="2564" width="11.09765625" style="108" customWidth="1"/>
    <col min="2565" max="2565" width="10.5" style="108" customWidth="1"/>
    <col min="2566" max="2566" width="7.3984375" style="108" customWidth="1"/>
    <col min="2567" max="2576" width="6.19921875" style="108" customWidth="1"/>
    <col min="2577" max="2577" width="9.59765625" style="108" customWidth="1"/>
    <col min="2578" max="2816" width="7.59765625" style="108"/>
    <col min="2817" max="2817" width="1.3984375" style="108" customWidth="1"/>
    <col min="2818" max="2818" width="3.8984375" style="108" customWidth="1"/>
    <col min="2819" max="2819" width="18" style="108" customWidth="1"/>
    <col min="2820" max="2820" width="11.09765625" style="108" customWidth="1"/>
    <col min="2821" max="2821" width="10.5" style="108" customWidth="1"/>
    <col min="2822" max="2822" width="7.3984375" style="108" customWidth="1"/>
    <col min="2823" max="2832" width="6.19921875" style="108" customWidth="1"/>
    <col min="2833" max="2833" width="9.59765625" style="108" customWidth="1"/>
    <col min="2834" max="3072" width="7.59765625" style="108"/>
    <col min="3073" max="3073" width="1.3984375" style="108" customWidth="1"/>
    <col min="3074" max="3074" width="3.8984375" style="108" customWidth="1"/>
    <col min="3075" max="3075" width="18" style="108" customWidth="1"/>
    <col min="3076" max="3076" width="11.09765625" style="108" customWidth="1"/>
    <col min="3077" max="3077" width="10.5" style="108" customWidth="1"/>
    <col min="3078" max="3078" width="7.3984375" style="108" customWidth="1"/>
    <col min="3079" max="3088" width="6.19921875" style="108" customWidth="1"/>
    <col min="3089" max="3089" width="9.59765625" style="108" customWidth="1"/>
    <col min="3090" max="3328" width="7.59765625" style="108"/>
    <col min="3329" max="3329" width="1.3984375" style="108" customWidth="1"/>
    <col min="3330" max="3330" width="3.8984375" style="108" customWidth="1"/>
    <col min="3331" max="3331" width="18" style="108" customWidth="1"/>
    <col min="3332" max="3332" width="11.09765625" style="108" customWidth="1"/>
    <col min="3333" max="3333" width="10.5" style="108" customWidth="1"/>
    <col min="3334" max="3334" width="7.3984375" style="108" customWidth="1"/>
    <col min="3335" max="3344" width="6.19921875" style="108" customWidth="1"/>
    <col min="3345" max="3345" width="9.59765625" style="108" customWidth="1"/>
    <col min="3346" max="3584" width="7.59765625" style="108"/>
    <col min="3585" max="3585" width="1.3984375" style="108" customWidth="1"/>
    <col min="3586" max="3586" width="3.8984375" style="108" customWidth="1"/>
    <col min="3587" max="3587" width="18" style="108" customWidth="1"/>
    <col min="3588" max="3588" width="11.09765625" style="108" customWidth="1"/>
    <col min="3589" max="3589" width="10.5" style="108" customWidth="1"/>
    <col min="3590" max="3590" width="7.3984375" style="108" customWidth="1"/>
    <col min="3591" max="3600" width="6.19921875" style="108" customWidth="1"/>
    <col min="3601" max="3601" width="9.59765625" style="108" customWidth="1"/>
    <col min="3602" max="3840" width="7.59765625" style="108"/>
    <col min="3841" max="3841" width="1.3984375" style="108" customWidth="1"/>
    <col min="3842" max="3842" width="3.8984375" style="108" customWidth="1"/>
    <col min="3843" max="3843" width="18" style="108" customWidth="1"/>
    <col min="3844" max="3844" width="11.09765625" style="108" customWidth="1"/>
    <col min="3845" max="3845" width="10.5" style="108" customWidth="1"/>
    <col min="3846" max="3846" width="7.3984375" style="108" customWidth="1"/>
    <col min="3847" max="3856" width="6.19921875" style="108" customWidth="1"/>
    <col min="3857" max="3857" width="9.59765625" style="108" customWidth="1"/>
    <col min="3858" max="4096" width="7.59765625" style="108"/>
    <col min="4097" max="4097" width="1.3984375" style="108" customWidth="1"/>
    <col min="4098" max="4098" width="3.8984375" style="108" customWidth="1"/>
    <col min="4099" max="4099" width="18" style="108" customWidth="1"/>
    <col min="4100" max="4100" width="11.09765625" style="108" customWidth="1"/>
    <col min="4101" max="4101" width="10.5" style="108" customWidth="1"/>
    <col min="4102" max="4102" width="7.3984375" style="108" customWidth="1"/>
    <col min="4103" max="4112" width="6.19921875" style="108" customWidth="1"/>
    <col min="4113" max="4113" width="9.59765625" style="108" customWidth="1"/>
    <col min="4114" max="4352" width="7.59765625" style="108"/>
    <col min="4353" max="4353" width="1.3984375" style="108" customWidth="1"/>
    <col min="4354" max="4354" width="3.8984375" style="108" customWidth="1"/>
    <col min="4355" max="4355" width="18" style="108" customWidth="1"/>
    <col min="4356" max="4356" width="11.09765625" style="108" customWidth="1"/>
    <col min="4357" max="4357" width="10.5" style="108" customWidth="1"/>
    <col min="4358" max="4358" width="7.3984375" style="108" customWidth="1"/>
    <col min="4359" max="4368" width="6.19921875" style="108" customWidth="1"/>
    <col min="4369" max="4369" width="9.59765625" style="108" customWidth="1"/>
    <col min="4370" max="4608" width="7.59765625" style="108"/>
    <col min="4609" max="4609" width="1.3984375" style="108" customWidth="1"/>
    <col min="4610" max="4610" width="3.8984375" style="108" customWidth="1"/>
    <col min="4611" max="4611" width="18" style="108" customWidth="1"/>
    <col min="4612" max="4612" width="11.09765625" style="108" customWidth="1"/>
    <col min="4613" max="4613" width="10.5" style="108" customWidth="1"/>
    <col min="4614" max="4614" width="7.3984375" style="108" customWidth="1"/>
    <col min="4615" max="4624" width="6.19921875" style="108" customWidth="1"/>
    <col min="4625" max="4625" width="9.59765625" style="108" customWidth="1"/>
    <col min="4626" max="4864" width="7.59765625" style="108"/>
    <col min="4865" max="4865" width="1.3984375" style="108" customWidth="1"/>
    <col min="4866" max="4866" width="3.8984375" style="108" customWidth="1"/>
    <col min="4867" max="4867" width="18" style="108" customWidth="1"/>
    <col min="4868" max="4868" width="11.09765625" style="108" customWidth="1"/>
    <col min="4869" max="4869" width="10.5" style="108" customWidth="1"/>
    <col min="4870" max="4870" width="7.3984375" style="108" customWidth="1"/>
    <col min="4871" max="4880" width="6.19921875" style="108" customWidth="1"/>
    <col min="4881" max="4881" width="9.59765625" style="108" customWidth="1"/>
    <col min="4882" max="5120" width="7.59765625" style="108"/>
    <col min="5121" max="5121" width="1.3984375" style="108" customWidth="1"/>
    <col min="5122" max="5122" width="3.8984375" style="108" customWidth="1"/>
    <col min="5123" max="5123" width="18" style="108" customWidth="1"/>
    <col min="5124" max="5124" width="11.09765625" style="108" customWidth="1"/>
    <col min="5125" max="5125" width="10.5" style="108" customWidth="1"/>
    <col min="5126" max="5126" width="7.3984375" style="108" customWidth="1"/>
    <col min="5127" max="5136" width="6.19921875" style="108" customWidth="1"/>
    <col min="5137" max="5137" width="9.59765625" style="108" customWidth="1"/>
    <col min="5138" max="5376" width="7.59765625" style="108"/>
    <col min="5377" max="5377" width="1.3984375" style="108" customWidth="1"/>
    <col min="5378" max="5378" width="3.8984375" style="108" customWidth="1"/>
    <col min="5379" max="5379" width="18" style="108" customWidth="1"/>
    <col min="5380" max="5380" width="11.09765625" style="108" customWidth="1"/>
    <col min="5381" max="5381" width="10.5" style="108" customWidth="1"/>
    <col min="5382" max="5382" width="7.3984375" style="108" customWidth="1"/>
    <col min="5383" max="5392" width="6.19921875" style="108" customWidth="1"/>
    <col min="5393" max="5393" width="9.59765625" style="108" customWidth="1"/>
    <col min="5394" max="5632" width="7.59765625" style="108"/>
    <col min="5633" max="5633" width="1.3984375" style="108" customWidth="1"/>
    <col min="5634" max="5634" width="3.8984375" style="108" customWidth="1"/>
    <col min="5635" max="5635" width="18" style="108" customWidth="1"/>
    <col min="5636" max="5636" width="11.09765625" style="108" customWidth="1"/>
    <col min="5637" max="5637" width="10.5" style="108" customWidth="1"/>
    <col min="5638" max="5638" width="7.3984375" style="108" customWidth="1"/>
    <col min="5639" max="5648" width="6.19921875" style="108" customWidth="1"/>
    <col min="5649" max="5649" width="9.59765625" style="108" customWidth="1"/>
    <col min="5650" max="5888" width="7.59765625" style="108"/>
    <col min="5889" max="5889" width="1.3984375" style="108" customWidth="1"/>
    <col min="5890" max="5890" width="3.8984375" style="108" customWidth="1"/>
    <col min="5891" max="5891" width="18" style="108" customWidth="1"/>
    <col min="5892" max="5892" width="11.09765625" style="108" customWidth="1"/>
    <col min="5893" max="5893" width="10.5" style="108" customWidth="1"/>
    <col min="5894" max="5894" width="7.3984375" style="108" customWidth="1"/>
    <col min="5895" max="5904" width="6.19921875" style="108" customWidth="1"/>
    <col min="5905" max="5905" width="9.59765625" style="108" customWidth="1"/>
    <col min="5906" max="6144" width="7.59765625" style="108"/>
    <col min="6145" max="6145" width="1.3984375" style="108" customWidth="1"/>
    <col min="6146" max="6146" width="3.8984375" style="108" customWidth="1"/>
    <col min="6147" max="6147" width="18" style="108" customWidth="1"/>
    <col min="6148" max="6148" width="11.09765625" style="108" customWidth="1"/>
    <col min="6149" max="6149" width="10.5" style="108" customWidth="1"/>
    <col min="6150" max="6150" width="7.3984375" style="108" customWidth="1"/>
    <col min="6151" max="6160" width="6.19921875" style="108" customWidth="1"/>
    <col min="6161" max="6161" width="9.59765625" style="108" customWidth="1"/>
    <col min="6162" max="6400" width="7.59765625" style="108"/>
    <col min="6401" max="6401" width="1.3984375" style="108" customWidth="1"/>
    <col min="6402" max="6402" width="3.8984375" style="108" customWidth="1"/>
    <col min="6403" max="6403" width="18" style="108" customWidth="1"/>
    <col min="6404" max="6404" width="11.09765625" style="108" customWidth="1"/>
    <col min="6405" max="6405" width="10.5" style="108" customWidth="1"/>
    <col min="6406" max="6406" width="7.3984375" style="108" customWidth="1"/>
    <col min="6407" max="6416" width="6.19921875" style="108" customWidth="1"/>
    <col min="6417" max="6417" width="9.59765625" style="108" customWidth="1"/>
    <col min="6418" max="6656" width="7.59765625" style="108"/>
    <col min="6657" max="6657" width="1.3984375" style="108" customWidth="1"/>
    <col min="6658" max="6658" width="3.8984375" style="108" customWidth="1"/>
    <col min="6659" max="6659" width="18" style="108" customWidth="1"/>
    <col min="6660" max="6660" width="11.09765625" style="108" customWidth="1"/>
    <col min="6661" max="6661" width="10.5" style="108" customWidth="1"/>
    <col min="6662" max="6662" width="7.3984375" style="108" customWidth="1"/>
    <col min="6663" max="6672" width="6.19921875" style="108" customWidth="1"/>
    <col min="6673" max="6673" width="9.59765625" style="108" customWidth="1"/>
    <col min="6674" max="6912" width="7.59765625" style="108"/>
    <col min="6913" max="6913" width="1.3984375" style="108" customWidth="1"/>
    <col min="6914" max="6914" width="3.8984375" style="108" customWidth="1"/>
    <col min="6915" max="6915" width="18" style="108" customWidth="1"/>
    <col min="6916" max="6916" width="11.09765625" style="108" customWidth="1"/>
    <col min="6917" max="6917" width="10.5" style="108" customWidth="1"/>
    <col min="6918" max="6918" width="7.3984375" style="108" customWidth="1"/>
    <col min="6919" max="6928" width="6.19921875" style="108" customWidth="1"/>
    <col min="6929" max="6929" width="9.59765625" style="108" customWidth="1"/>
    <col min="6930" max="7168" width="7.59765625" style="108"/>
    <col min="7169" max="7169" width="1.3984375" style="108" customWidth="1"/>
    <col min="7170" max="7170" width="3.8984375" style="108" customWidth="1"/>
    <col min="7171" max="7171" width="18" style="108" customWidth="1"/>
    <col min="7172" max="7172" width="11.09765625" style="108" customWidth="1"/>
    <col min="7173" max="7173" width="10.5" style="108" customWidth="1"/>
    <col min="7174" max="7174" width="7.3984375" style="108" customWidth="1"/>
    <col min="7175" max="7184" width="6.19921875" style="108" customWidth="1"/>
    <col min="7185" max="7185" width="9.59765625" style="108" customWidth="1"/>
    <col min="7186" max="7424" width="7.59765625" style="108"/>
    <col min="7425" max="7425" width="1.3984375" style="108" customWidth="1"/>
    <col min="7426" max="7426" width="3.8984375" style="108" customWidth="1"/>
    <col min="7427" max="7427" width="18" style="108" customWidth="1"/>
    <col min="7428" max="7428" width="11.09765625" style="108" customWidth="1"/>
    <col min="7429" max="7429" width="10.5" style="108" customWidth="1"/>
    <col min="7430" max="7430" width="7.3984375" style="108" customWidth="1"/>
    <col min="7431" max="7440" width="6.19921875" style="108" customWidth="1"/>
    <col min="7441" max="7441" width="9.59765625" style="108" customWidth="1"/>
    <col min="7442" max="7680" width="7.59765625" style="108"/>
    <col min="7681" max="7681" width="1.3984375" style="108" customWidth="1"/>
    <col min="7682" max="7682" width="3.8984375" style="108" customWidth="1"/>
    <col min="7683" max="7683" width="18" style="108" customWidth="1"/>
    <col min="7684" max="7684" width="11.09765625" style="108" customWidth="1"/>
    <col min="7685" max="7685" width="10.5" style="108" customWidth="1"/>
    <col min="7686" max="7686" width="7.3984375" style="108" customWidth="1"/>
    <col min="7687" max="7696" width="6.19921875" style="108" customWidth="1"/>
    <col min="7697" max="7697" width="9.59765625" style="108" customWidth="1"/>
    <col min="7698" max="7936" width="7.59765625" style="108"/>
    <col min="7937" max="7937" width="1.3984375" style="108" customWidth="1"/>
    <col min="7938" max="7938" width="3.8984375" style="108" customWidth="1"/>
    <col min="7939" max="7939" width="18" style="108" customWidth="1"/>
    <col min="7940" max="7940" width="11.09765625" style="108" customWidth="1"/>
    <col min="7941" max="7941" width="10.5" style="108" customWidth="1"/>
    <col min="7942" max="7942" width="7.3984375" style="108" customWidth="1"/>
    <col min="7943" max="7952" width="6.19921875" style="108" customWidth="1"/>
    <col min="7953" max="7953" width="9.59765625" style="108" customWidth="1"/>
    <col min="7954" max="8192" width="7.59765625" style="108"/>
    <col min="8193" max="8193" width="1.3984375" style="108" customWidth="1"/>
    <col min="8194" max="8194" width="3.8984375" style="108" customWidth="1"/>
    <col min="8195" max="8195" width="18" style="108" customWidth="1"/>
    <col min="8196" max="8196" width="11.09765625" style="108" customWidth="1"/>
    <col min="8197" max="8197" width="10.5" style="108" customWidth="1"/>
    <col min="8198" max="8198" width="7.3984375" style="108" customWidth="1"/>
    <col min="8199" max="8208" width="6.19921875" style="108" customWidth="1"/>
    <col min="8209" max="8209" width="9.59765625" style="108" customWidth="1"/>
    <col min="8210" max="8448" width="7.59765625" style="108"/>
    <col min="8449" max="8449" width="1.3984375" style="108" customWidth="1"/>
    <col min="8450" max="8450" width="3.8984375" style="108" customWidth="1"/>
    <col min="8451" max="8451" width="18" style="108" customWidth="1"/>
    <col min="8452" max="8452" width="11.09765625" style="108" customWidth="1"/>
    <col min="8453" max="8453" width="10.5" style="108" customWidth="1"/>
    <col min="8454" max="8454" width="7.3984375" style="108" customWidth="1"/>
    <col min="8455" max="8464" width="6.19921875" style="108" customWidth="1"/>
    <col min="8465" max="8465" width="9.59765625" style="108" customWidth="1"/>
    <col min="8466" max="8704" width="7.59765625" style="108"/>
    <col min="8705" max="8705" width="1.3984375" style="108" customWidth="1"/>
    <col min="8706" max="8706" width="3.8984375" style="108" customWidth="1"/>
    <col min="8707" max="8707" width="18" style="108" customWidth="1"/>
    <col min="8708" max="8708" width="11.09765625" style="108" customWidth="1"/>
    <col min="8709" max="8709" width="10.5" style="108" customWidth="1"/>
    <col min="8710" max="8710" width="7.3984375" style="108" customWidth="1"/>
    <col min="8711" max="8720" width="6.19921875" style="108" customWidth="1"/>
    <col min="8721" max="8721" width="9.59765625" style="108" customWidth="1"/>
    <col min="8722" max="8960" width="7.59765625" style="108"/>
    <col min="8961" max="8961" width="1.3984375" style="108" customWidth="1"/>
    <col min="8962" max="8962" width="3.8984375" style="108" customWidth="1"/>
    <col min="8963" max="8963" width="18" style="108" customWidth="1"/>
    <col min="8964" max="8964" width="11.09765625" style="108" customWidth="1"/>
    <col min="8965" max="8965" width="10.5" style="108" customWidth="1"/>
    <col min="8966" max="8966" width="7.3984375" style="108" customWidth="1"/>
    <col min="8967" max="8976" width="6.19921875" style="108" customWidth="1"/>
    <col min="8977" max="8977" width="9.59765625" style="108" customWidth="1"/>
    <col min="8978" max="9216" width="7.59765625" style="108"/>
    <col min="9217" max="9217" width="1.3984375" style="108" customWidth="1"/>
    <col min="9218" max="9218" width="3.8984375" style="108" customWidth="1"/>
    <col min="9219" max="9219" width="18" style="108" customWidth="1"/>
    <col min="9220" max="9220" width="11.09765625" style="108" customWidth="1"/>
    <col min="9221" max="9221" width="10.5" style="108" customWidth="1"/>
    <col min="9222" max="9222" width="7.3984375" style="108" customWidth="1"/>
    <col min="9223" max="9232" width="6.19921875" style="108" customWidth="1"/>
    <col min="9233" max="9233" width="9.59765625" style="108" customWidth="1"/>
    <col min="9234" max="9472" width="7.59765625" style="108"/>
    <col min="9473" max="9473" width="1.3984375" style="108" customWidth="1"/>
    <col min="9474" max="9474" width="3.8984375" style="108" customWidth="1"/>
    <col min="9475" max="9475" width="18" style="108" customWidth="1"/>
    <col min="9476" max="9476" width="11.09765625" style="108" customWidth="1"/>
    <col min="9477" max="9477" width="10.5" style="108" customWidth="1"/>
    <col min="9478" max="9478" width="7.3984375" style="108" customWidth="1"/>
    <col min="9479" max="9488" width="6.19921875" style="108" customWidth="1"/>
    <col min="9489" max="9489" width="9.59765625" style="108" customWidth="1"/>
    <col min="9490" max="9728" width="7.59765625" style="108"/>
    <col min="9729" max="9729" width="1.3984375" style="108" customWidth="1"/>
    <col min="9730" max="9730" width="3.8984375" style="108" customWidth="1"/>
    <col min="9731" max="9731" width="18" style="108" customWidth="1"/>
    <col min="9732" max="9732" width="11.09765625" style="108" customWidth="1"/>
    <col min="9733" max="9733" width="10.5" style="108" customWidth="1"/>
    <col min="9734" max="9734" width="7.3984375" style="108" customWidth="1"/>
    <col min="9735" max="9744" width="6.19921875" style="108" customWidth="1"/>
    <col min="9745" max="9745" width="9.59765625" style="108" customWidth="1"/>
    <col min="9746" max="9984" width="7.59765625" style="108"/>
    <col min="9985" max="9985" width="1.3984375" style="108" customWidth="1"/>
    <col min="9986" max="9986" width="3.8984375" style="108" customWidth="1"/>
    <col min="9987" max="9987" width="18" style="108" customWidth="1"/>
    <col min="9988" max="9988" width="11.09765625" style="108" customWidth="1"/>
    <col min="9989" max="9989" width="10.5" style="108" customWidth="1"/>
    <col min="9990" max="9990" width="7.3984375" style="108" customWidth="1"/>
    <col min="9991" max="10000" width="6.19921875" style="108" customWidth="1"/>
    <col min="10001" max="10001" width="9.59765625" style="108" customWidth="1"/>
    <col min="10002" max="10240" width="7.59765625" style="108"/>
    <col min="10241" max="10241" width="1.3984375" style="108" customWidth="1"/>
    <col min="10242" max="10242" width="3.8984375" style="108" customWidth="1"/>
    <col min="10243" max="10243" width="18" style="108" customWidth="1"/>
    <col min="10244" max="10244" width="11.09765625" style="108" customWidth="1"/>
    <col min="10245" max="10245" width="10.5" style="108" customWidth="1"/>
    <col min="10246" max="10246" width="7.3984375" style="108" customWidth="1"/>
    <col min="10247" max="10256" width="6.19921875" style="108" customWidth="1"/>
    <col min="10257" max="10257" width="9.59765625" style="108" customWidth="1"/>
    <col min="10258" max="10496" width="7.59765625" style="108"/>
    <col min="10497" max="10497" width="1.3984375" style="108" customWidth="1"/>
    <col min="10498" max="10498" width="3.8984375" style="108" customWidth="1"/>
    <col min="10499" max="10499" width="18" style="108" customWidth="1"/>
    <col min="10500" max="10500" width="11.09765625" style="108" customWidth="1"/>
    <col min="10501" max="10501" width="10.5" style="108" customWidth="1"/>
    <col min="10502" max="10502" width="7.3984375" style="108" customWidth="1"/>
    <col min="10503" max="10512" width="6.19921875" style="108" customWidth="1"/>
    <col min="10513" max="10513" width="9.59765625" style="108" customWidth="1"/>
    <col min="10514" max="10752" width="7.59765625" style="108"/>
    <col min="10753" max="10753" width="1.3984375" style="108" customWidth="1"/>
    <col min="10754" max="10754" width="3.8984375" style="108" customWidth="1"/>
    <col min="10755" max="10755" width="18" style="108" customWidth="1"/>
    <col min="10756" max="10756" width="11.09765625" style="108" customWidth="1"/>
    <col min="10757" max="10757" width="10.5" style="108" customWidth="1"/>
    <col min="10758" max="10758" width="7.3984375" style="108" customWidth="1"/>
    <col min="10759" max="10768" width="6.19921875" style="108" customWidth="1"/>
    <col min="10769" max="10769" width="9.59765625" style="108" customWidth="1"/>
    <col min="10770" max="11008" width="7.59765625" style="108"/>
    <col min="11009" max="11009" width="1.3984375" style="108" customWidth="1"/>
    <col min="11010" max="11010" width="3.8984375" style="108" customWidth="1"/>
    <col min="11011" max="11011" width="18" style="108" customWidth="1"/>
    <col min="11012" max="11012" width="11.09765625" style="108" customWidth="1"/>
    <col min="11013" max="11013" width="10.5" style="108" customWidth="1"/>
    <col min="11014" max="11014" width="7.3984375" style="108" customWidth="1"/>
    <col min="11015" max="11024" width="6.19921875" style="108" customWidth="1"/>
    <col min="11025" max="11025" width="9.59765625" style="108" customWidth="1"/>
    <col min="11026" max="11264" width="7.59765625" style="108"/>
    <col min="11265" max="11265" width="1.3984375" style="108" customWidth="1"/>
    <col min="11266" max="11266" width="3.8984375" style="108" customWidth="1"/>
    <col min="11267" max="11267" width="18" style="108" customWidth="1"/>
    <col min="11268" max="11268" width="11.09765625" style="108" customWidth="1"/>
    <col min="11269" max="11269" width="10.5" style="108" customWidth="1"/>
    <col min="11270" max="11270" width="7.3984375" style="108" customWidth="1"/>
    <col min="11271" max="11280" width="6.19921875" style="108" customWidth="1"/>
    <col min="11281" max="11281" width="9.59765625" style="108" customWidth="1"/>
    <col min="11282" max="11520" width="7.59765625" style="108"/>
    <col min="11521" max="11521" width="1.3984375" style="108" customWidth="1"/>
    <col min="11522" max="11522" width="3.8984375" style="108" customWidth="1"/>
    <col min="11523" max="11523" width="18" style="108" customWidth="1"/>
    <col min="11524" max="11524" width="11.09765625" style="108" customWidth="1"/>
    <col min="11525" max="11525" width="10.5" style="108" customWidth="1"/>
    <col min="11526" max="11526" width="7.3984375" style="108" customWidth="1"/>
    <col min="11527" max="11536" width="6.19921875" style="108" customWidth="1"/>
    <col min="11537" max="11537" width="9.59765625" style="108" customWidth="1"/>
    <col min="11538" max="11776" width="7.59765625" style="108"/>
    <col min="11777" max="11777" width="1.3984375" style="108" customWidth="1"/>
    <col min="11778" max="11778" width="3.8984375" style="108" customWidth="1"/>
    <col min="11779" max="11779" width="18" style="108" customWidth="1"/>
    <col min="11780" max="11780" width="11.09765625" style="108" customWidth="1"/>
    <col min="11781" max="11781" width="10.5" style="108" customWidth="1"/>
    <col min="11782" max="11782" width="7.3984375" style="108" customWidth="1"/>
    <col min="11783" max="11792" width="6.19921875" style="108" customWidth="1"/>
    <col min="11793" max="11793" width="9.59765625" style="108" customWidth="1"/>
    <col min="11794" max="12032" width="7.59765625" style="108"/>
    <col min="12033" max="12033" width="1.3984375" style="108" customWidth="1"/>
    <col min="12034" max="12034" width="3.8984375" style="108" customWidth="1"/>
    <col min="12035" max="12035" width="18" style="108" customWidth="1"/>
    <col min="12036" max="12036" width="11.09765625" style="108" customWidth="1"/>
    <col min="12037" max="12037" width="10.5" style="108" customWidth="1"/>
    <col min="12038" max="12038" width="7.3984375" style="108" customWidth="1"/>
    <col min="12039" max="12048" width="6.19921875" style="108" customWidth="1"/>
    <col min="12049" max="12049" width="9.59765625" style="108" customWidth="1"/>
    <col min="12050" max="12288" width="7.59765625" style="108"/>
    <col min="12289" max="12289" width="1.3984375" style="108" customWidth="1"/>
    <col min="12290" max="12290" width="3.8984375" style="108" customWidth="1"/>
    <col min="12291" max="12291" width="18" style="108" customWidth="1"/>
    <col min="12292" max="12292" width="11.09765625" style="108" customWidth="1"/>
    <col min="12293" max="12293" width="10.5" style="108" customWidth="1"/>
    <col min="12294" max="12294" width="7.3984375" style="108" customWidth="1"/>
    <col min="12295" max="12304" width="6.19921875" style="108" customWidth="1"/>
    <col min="12305" max="12305" width="9.59765625" style="108" customWidth="1"/>
    <col min="12306" max="12544" width="7.59765625" style="108"/>
    <col min="12545" max="12545" width="1.3984375" style="108" customWidth="1"/>
    <col min="12546" max="12546" width="3.8984375" style="108" customWidth="1"/>
    <col min="12547" max="12547" width="18" style="108" customWidth="1"/>
    <col min="12548" max="12548" width="11.09765625" style="108" customWidth="1"/>
    <col min="12549" max="12549" width="10.5" style="108" customWidth="1"/>
    <col min="12550" max="12550" width="7.3984375" style="108" customWidth="1"/>
    <col min="12551" max="12560" width="6.19921875" style="108" customWidth="1"/>
    <col min="12561" max="12561" width="9.59765625" style="108" customWidth="1"/>
    <col min="12562" max="12800" width="7.59765625" style="108"/>
    <col min="12801" max="12801" width="1.3984375" style="108" customWidth="1"/>
    <col min="12802" max="12802" width="3.8984375" style="108" customWidth="1"/>
    <col min="12803" max="12803" width="18" style="108" customWidth="1"/>
    <col min="12804" max="12804" width="11.09765625" style="108" customWidth="1"/>
    <col min="12805" max="12805" width="10.5" style="108" customWidth="1"/>
    <col min="12806" max="12806" width="7.3984375" style="108" customWidth="1"/>
    <col min="12807" max="12816" width="6.19921875" style="108" customWidth="1"/>
    <col min="12817" max="12817" width="9.59765625" style="108" customWidth="1"/>
    <col min="12818" max="13056" width="7.59765625" style="108"/>
    <col min="13057" max="13057" width="1.3984375" style="108" customWidth="1"/>
    <col min="13058" max="13058" width="3.8984375" style="108" customWidth="1"/>
    <col min="13059" max="13059" width="18" style="108" customWidth="1"/>
    <col min="13060" max="13060" width="11.09765625" style="108" customWidth="1"/>
    <col min="13061" max="13061" width="10.5" style="108" customWidth="1"/>
    <col min="13062" max="13062" width="7.3984375" style="108" customWidth="1"/>
    <col min="13063" max="13072" width="6.19921875" style="108" customWidth="1"/>
    <col min="13073" max="13073" width="9.59765625" style="108" customWidth="1"/>
    <col min="13074" max="13312" width="7.59765625" style="108"/>
    <col min="13313" max="13313" width="1.3984375" style="108" customWidth="1"/>
    <col min="13314" max="13314" width="3.8984375" style="108" customWidth="1"/>
    <col min="13315" max="13315" width="18" style="108" customWidth="1"/>
    <col min="13316" max="13316" width="11.09765625" style="108" customWidth="1"/>
    <col min="13317" max="13317" width="10.5" style="108" customWidth="1"/>
    <col min="13318" max="13318" width="7.3984375" style="108" customWidth="1"/>
    <col min="13319" max="13328" width="6.19921875" style="108" customWidth="1"/>
    <col min="13329" max="13329" width="9.59765625" style="108" customWidth="1"/>
    <col min="13330" max="13568" width="7.59765625" style="108"/>
    <col min="13569" max="13569" width="1.3984375" style="108" customWidth="1"/>
    <col min="13570" max="13570" width="3.8984375" style="108" customWidth="1"/>
    <col min="13571" max="13571" width="18" style="108" customWidth="1"/>
    <col min="13572" max="13572" width="11.09765625" style="108" customWidth="1"/>
    <col min="13573" max="13573" width="10.5" style="108" customWidth="1"/>
    <col min="13574" max="13574" width="7.3984375" style="108" customWidth="1"/>
    <col min="13575" max="13584" width="6.19921875" style="108" customWidth="1"/>
    <col min="13585" max="13585" width="9.59765625" style="108" customWidth="1"/>
    <col min="13586" max="13824" width="7.59765625" style="108"/>
    <col min="13825" max="13825" width="1.3984375" style="108" customWidth="1"/>
    <col min="13826" max="13826" width="3.8984375" style="108" customWidth="1"/>
    <col min="13827" max="13827" width="18" style="108" customWidth="1"/>
    <col min="13828" max="13828" width="11.09765625" style="108" customWidth="1"/>
    <col min="13829" max="13829" width="10.5" style="108" customWidth="1"/>
    <col min="13830" max="13830" width="7.3984375" style="108" customWidth="1"/>
    <col min="13831" max="13840" width="6.19921875" style="108" customWidth="1"/>
    <col min="13841" max="13841" width="9.59765625" style="108" customWidth="1"/>
    <col min="13842" max="14080" width="7.59765625" style="108"/>
    <col min="14081" max="14081" width="1.3984375" style="108" customWidth="1"/>
    <col min="14082" max="14082" width="3.8984375" style="108" customWidth="1"/>
    <col min="14083" max="14083" width="18" style="108" customWidth="1"/>
    <col min="14084" max="14084" width="11.09765625" style="108" customWidth="1"/>
    <col min="14085" max="14085" width="10.5" style="108" customWidth="1"/>
    <col min="14086" max="14086" width="7.3984375" style="108" customWidth="1"/>
    <col min="14087" max="14096" width="6.19921875" style="108" customWidth="1"/>
    <col min="14097" max="14097" width="9.59765625" style="108" customWidth="1"/>
    <col min="14098" max="14336" width="7.59765625" style="108"/>
    <col min="14337" max="14337" width="1.3984375" style="108" customWidth="1"/>
    <col min="14338" max="14338" width="3.8984375" style="108" customWidth="1"/>
    <col min="14339" max="14339" width="18" style="108" customWidth="1"/>
    <col min="14340" max="14340" width="11.09765625" style="108" customWidth="1"/>
    <col min="14341" max="14341" width="10.5" style="108" customWidth="1"/>
    <col min="14342" max="14342" width="7.3984375" style="108" customWidth="1"/>
    <col min="14343" max="14352" width="6.19921875" style="108" customWidth="1"/>
    <col min="14353" max="14353" width="9.59765625" style="108" customWidth="1"/>
    <col min="14354" max="14592" width="7.59765625" style="108"/>
    <col min="14593" max="14593" width="1.3984375" style="108" customWidth="1"/>
    <col min="14594" max="14594" width="3.8984375" style="108" customWidth="1"/>
    <col min="14595" max="14595" width="18" style="108" customWidth="1"/>
    <col min="14596" max="14596" width="11.09765625" style="108" customWidth="1"/>
    <col min="14597" max="14597" width="10.5" style="108" customWidth="1"/>
    <col min="14598" max="14598" width="7.3984375" style="108" customWidth="1"/>
    <col min="14599" max="14608" width="6.19921875" style="108" customWidth="1"/>
    <col min="14609" max="14609" width="9.59765625" style="108" customWidth="1"/>
    <col min="14610" max="14848" width="7.59765625" style="108"/>
    <col min="14849" max="14849" width="1.3984375" style="108" customWidth="1"/>
    <col min="14850" max="14850" width="3.8984375" style="108" customWidth="1"/>
    <col min="14851" max="14851" width="18" style="108" customWidth="1"/>
    <col min="14852" max="14852" width="11.09765625" style="108" customWidth="1"/>
    <col min="14853" max="14853" width="10.5" style="108" customWidth="1"/>
    <col min="14854" max="14854" width="7.3984375" style="108" customWidth="1"/>
    <col min="14855" max="14864" width="6.19921875" style="108" customWidth="1"/>
    <col min="14865" max="14865" width="9.59765625" style="108" customWidth="1"/>
    <col min="14866" max="15104" width="7.59765625" style="108"/>
    <col min="15105" max="15105" width="1.3984375" style="108" customWidth="1"/>
    <col min="15106" max="15106" width="3.8984375" style="108" customWidth="1"/>
    <col min="15107" max="15107" width="18" style="108" customWidth="1"/>
    <col min="15108" max="15108" width="11.09765625" style="108" customWidth="1"/>
    <col min="15109" max="15109" width="10.5" style="108" customWidth="1"/>
    <col min="15110" max="15110" width="7.3984375" style="108" customWidth="1"/>
    <col min="15111" max="15120" width="6.19921875" style="108" customWidth="1"/>
    <col min="15121" max="15121" width="9.59765625" style="108" customWidth="1"/>
    <col min="15122" max="15360" width="7.59765625" style="108"/>
    <col min="15361" max="15361" width="1.3984375" style="108" customWidth="1"/>
    <col min="15362" max="15362" width="3.8984375" style="108" customWidth="1"/>
    <col min="15363" max="15363" width="18" style="108" customWidth="1"/>
    <col min="15364" max="15364" width="11.09765625" style="108" customWidth="1"/>
    <col min="15365" max="15365" width="10.5" style="108" customWidth="1"/>
    <col min="15366" max="15366" width="7.3984375" style="108" customWidth="1"/>
    <col min="15367" max="15376" width="6.19921875" style="108" customWidth="1"/>
    <col min="15377" max="15377" width="9.59765625" style="108" customWidth="1"/>
    <col min="15378" max="15616" width="7.59765625" style="108"/>
    <col min="15617" max="15617" width="1.3984375" style="108" customWidth="1"/>
    <col min="15618" max="15618" width="3.8984375" style="108" customWidth="1"/>
    <col min="15619" max="15619" width="18" style="108" customWidth="1"/>
    <col min="15620" max="15620" width="11.09765625" style="108" customWidth="1"/>
    <col min="15621" max="15621" width="10.5" style="108" customWidth="1"/>
    <col min="15622" max="15622" width="7.3984375" style="108" customWidth="1"/>
    <col min="15623" max="15632" width="6.19921875" style="108" customWidth="1"/>
    <col min="15633" max="15633" width="9.59765625" style="108" customWidth="1"/>
    <col min="15634" max="15872" width="7.59765625" style="108"/>
    <col min="15873" max="15873" width="1.3984375" style="108" customWidth="1"/>
    <col min="15874" max="15874" width="3.8984375" style="108" customWidth="1"/>
    <col min="15875" max="15875" width="18" style="108" customWidth="1"/>
    <col min="15876" max="15876" width="11.09765625" style="108" customWidth="1"/>
    <col min="15877" max="15877" width="10.5" style="108" customWidth="1"/>
    <col min="15878" max="15878" width="7.3984375" style="108" customWidth="1"/>
    <col min="15879" max="15888" width="6.19921875" style="108" customWidth="1"/>
    <col min="15889" max="15889" width="9.59765625" style="108" customWidth="1"/>
    <col min="15890" max="16128" width="7.59765625" style="108"/>
    <col min="16129" max="16129" width="1.3984375" style="108" customWidth="1"/>
    <col min="16130" max="16130" width="3.8984375" style="108" customWidth="1"/>
    <col min="16131" max="16131" width="18" style="108" customWidth="1"/>
    <col min="16132" max="16132" width="11.09765625" style="108" customWidth="1"/>
    <col min="16133" max="16133" width="10.5" style="108" customWidth="1"/>
    <col min="16134" max="16134" width="7.3984375" style="108" customWidth="1"/>
    <col min="16135" max="16144" width="6.19921875" style="108" customWidth="1"/>
    <col min="16145" max="16145" width="9.59765625" style="108" customWidth="1"/>
    <col min="16146" max="16384" width="7.59765625" style="108"/>
  </cols>
  <sheetData>
    <row r="1" spans="1:251" x14ac:dyDescent="0.3">
      <c r="Q1" s="228" t="s">
        <v>317</v>
      </c>
    </row>
    <row r="2" spans="1:251" x14ac:dyDescent="0.3">
      <c r="B2" s="533" t="s">
        <v>350</v>
      </c>
      <c r="C2" s="533"/>
      <c r="D2" s="533"/>
      <c r="E2" s="533"/>
      <c r="F2" s="533"/>
      <c r="G2" s="533"/>
      <c r="H2" s="533"/>
      <c r="I2" s="533"/>
      <c r="J2" s="533"/>
      <c r="K2" s="533"/>
      <c r="L2" s="533"/>
      <c r="M2" s="533"/>
      <c r="N2" s="533"/>
      <c r="O2" s="533"/>
      <c r="P2" s="533"/>
      <c r="Q2" s="533"/>
      <c r="R2" s="206"/>
      <c r="S2" s="206"/>
      <c r="T2" s="206"/>
      <c r="U2" s="206"/>
      <c r="V2" s="206"/>
      <c r="W2" s="206"/>
      <c r="X2" s="206"/>
      <c r="Y2" s="206"/>
      <c r="Z2" s="206"/>
      <c r="AA2" s="206"/>
      <c r="AB2" s="206"/>
      <c r="AC2" s="206"/>
      <c r="AD2" s="206"/>
    </row>
    <row r="3" spans="1:251" x14ac:dyDescent="0.3">
      <c r="B3" s="540" t="s">
        <v>354</v>
      </c>
      <c r="C3" s="540"/>
      <c r="D3" s="540"/>
      <c r="E3" s="540"/>
      <c r="F3" s="540"/>
      <c r="G3" s="540"/>
      <c r="H3" s="540"/>
      <c r="I3" s="540"/>
      <c r="J3" s="540"/>
      <c r="K3" s="540"/>
      <c r="L3" s="540"/>
      <c r="M3" s="540"/>
      <c r="N3" s="540"/>
      <c r="O3" s="540"/>
      <c r="P3" s="540"/>
      <c r="Q3" s="540"/>
      <c r="R3" s="206"/>
      <c r="S3" s="206"/>
      <c r="T3" s="206"/>
      <c r="U3" s="206"/>
      <c r="V3" s="206"/>
      <c r="W3" s="206"/>
      <c r="X3" s="206"/>
      <c r="Y3" s="206"/>
      <c r="Z3" s="206"/>
      <c r="AA3" s="206"/>
      <c r="AB3" s="206"/>
      <c r="AC3" s="206"/>
      <c r="AD3" s="206"/>
    </row>
    <row r="4" spans="1:251" ht="27.75" customHeight="1" x14ac:dyDescent="0.3">
      <c r="P4" s="543" t="s">
        <v>351</v>
      </c>
      <c r="Q4" s="547"/>
    </row>
    <row r="5" spans="1:251" x14ac:dyDescent="0.3">
      <c r="B5" s="534" t="s">
        <v>1</v>
      </c>
      <c r="C5" s="534" t="s">
        <v>207</v>
      </c>
      <c r="D5" s="534" t="s">
        <v>352</v>
      </c>
      <c r="E5" s="534" t="s">
        <v>312</v>
      </c>
      <c r="F5" s="549" t="s">
        <v>158</v>
      </c>
      <c r="G5" s="549"/>
      <c r="H5" s="549"/>
      <c r="I5" s="549"/>
      <c r="J5" s="549"/>
      <c r="K5" s="549"/>
      <c r="L5" s="549"/>
      <c r="M5" s="549"/>
      <c r="N5" s="549"/>
      <c r="O5" s="549"/>
      <c r="P5" s="549"/>
      <c r="Q5" s="550" t="s">
        <v>353</v>
      </c>
    </row>
    <row r="6" spans="1:251" s="230" customFormat="1" ht="79.2" x14ac:dyDescent="0.3">
      <c r="A6" s="109"/>
      <c r="B6" s="548"/>
      <c r="C6" s="548"/>
      <c r="D6" s="548"/>
      <c r="E6" s="548"/>
      <c r="F6" s="229" t="s">
        <v>56</v>
      </c>
      <c r="G6" s="229" t="s">
        <v>235</v>
      </c>
      <c r="H6" s="229" t="s">
        <v>236</v>
      </c>
      <c r="I6" s="229" t="s">
        <v>69</v>
      </c>
      <c r="J6" s="229" t="s">
        <v>72</v>
      </c>
      <c r="K6" s="229" t="s">
        <v>65</v>
      </c>
      <c r="L6" s="229" t="s">
        <v>66</v>
      </c>
      <c r="M6" s="229" t="s">
        <v>237</v>
      </c>
      <c r="N6" s="229" t="s">
        <v>238</v>
      </c>
      <c r="O6" s="229" t="s">
        <v>239</v>
      </c>
      <c r="P6" s="229" t="s">
        <v>159</v>
      </c>
      <c r="Q6" s="551"/>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spans="1:251" x14ac:dyDescent="0.3">
      <c r="B7" s="100">
        <v>1</v>
      </c>
      <c r="C7" s="101" t="s">
        <v>217</v>
      </c>
      <c r="D7" s="101">
        <f>E7+Q7</f>
        <v>46686.011621800004</v>
      </c>
      <c r="E7" s="101">
        <f>SUM(F7:P7)</f>
        <v>8686.0116218000003</v>
      </c>
      <c r="F7" s="101">
        <f>'[6]CT chi'!J12</f>
        <v>6940.9807617999995</v>
      </c>
      <c r="G7" s="101">
        <f>'[6]CT chi'!J36</f>
        <v>208.68976000000001</v>
      </c>
      <c r="H7" s="101">
        <f>'[6]CT chi'!J46</f>
        <v>83.7</v>
      </c>
      <c r="I7" s="101">
        <f>'[6]CT chi'!J49</f>
        <v>39.676769999999998</v>
      </c>
      <c r="J7" s="101">
        <f>'[6]CT chi'!J52</f>
        <v>383.41775999999999</v>
      </c>
      <c r="K7" s="101">
        <f>'[6]CT chi'!J61</f>
        <v>186.91860599999998</v>
      </c>
      <c r="L7" s="101">
        <f>'[6]CT chi'!J67</f>
        <v>80.001323999999997</v>
      </c>
      <c r="M7" s="101">
        <f>'[6]CT chi'!J71</f>
        <v>227.75904000000003</v>
      </c>
      <c r="N7" s="101">
        <f>'[6]CT chi'!J75</f>
        <v>99.867599999999996</v>
      </c>
      <c r="O7" s="101">
        <f>'[6]CT chi'!J79</f>
        <v>43</v>
      </c>
      <c r="P7" s="101">
        <f>'[6]CT chi'!H81</f>
        <v>392</v>
      </c>
      <c r="Q7" s="101">
        <f>'[6]DT thu'!AG10</f>
        <v>38000</v>
      </c>
    </row>
    <row r="8" spans="1:251" x14ac:dyDescent="0.3">
      <c r="B8" s="100">
        <v>2</v>
      </c>
      <c r="C8" s="101" t="s">
        <v>218</v>
      </c>
      <c r="D8" s="101">
        <f t="shared" ref="D8:D23" si="0">E8+Q8</f>
        <v>25465.090919216</v>
      </c>
      <c r="E8" s="101">
        <f t="shared" ref="E8:E22" si="1">SUM(F8:P8)</f>
        <v>8265.0909192159997</v>
      </c>
      <c r="F8" s="101">
        <f>'[6]CT chi'!T12</f>
        <v>5841.988675216001</v>
      </c>
      <c r="G8" s="101">
        <f>'[6]CT chi'!T36</f>
        <v>265.60816</v>
      </c>
      <c r="H8" s="101">
        <f>'[6]CT chi'!T46</f>
        <v>83.7</v>
      </c>
      <c r="I8" s="101">
        <f>'[6]CT chi'!T49</f>
        <v>73.766069999999999</v>
      </c>
      <c r="J8" s="101">
        <f>'[6]CT chi'!T52</f>
        <v>571.50456000000008</v>
      </c>
      <c r="K8" s="101">
        <f>'[6]CT chi'!T61</f>
        <v>242.55273</v>
      </c>
      <c r="L8" s="101">
        <f>'[6]CT chi'!T67</f>
        <v>148.73648399999999</v>
      </c>
      <c r="M8" s="101">
        <f>'[6]CT chi'!T71</f>
        <v>434.58263999999997</v>
      </c>
      <c r="N8" s="101">
        <f>'[6]CT chi'!T75</f>
        <v>180.65159999999997</v>
      </c>
      <c r="O8" s="101">
        <f>'[6]CT chi'!T79</f>
        <v>41</v>
      </c>
      <c r="P8" s="101">
        <f>'[6]CT chi'!T81</f>
        <v>381</v>
      </c>
      <c r="Q8" s="101">
        <f>'[6]DT thu'!AG11</f>
        <v>17200</v>
      </c>
    </row>
    <row r="9" spans="1:251" x14ac:dyDescent="0.3">
      <c r="B9" s="100">
        <v>3</v>
      </c>
      <c r="C9" s="101" t="s">
        <v>219</v>
      </c>
      <c r="D9" s="101">
        <f t="shared" si="0"/>
        <v>5440.1814616399988</v>
      </c>
      <c r="E9" s="101">
        <f t="shared" si="1"/>
        <v>5040.1814616399988</v>
      </c>
      <c r="F9" s="101">
        <f>'[6]CT chi'!AD12</f>
        <v>3938.2967456399992</v>
      </c>
      <c r="G9" s="101">
        <f>'[6]CT chi'!AD36</f>
        <v>144.41242</v>
      </c>
      <c r="H9" s="101">
        <f>'[6]CT chi'!AD46</f>
        <v>66.599999999999994</v>
      </c>
      <c r="I9" s="101">
        <f>'[6]CT chi'!AD49</f>
        <v>25.459811999999999</v>
      </c>
      <c r="J9" s="101">
        <f>'[6]CT chi'!AD52</f>
        <v>247.91309999999999</v>
      </c>
      <c r="K9" s="101">
        <f>'[6]CT chi'!AD61</f>
        <v>125.46136399999999</v>
      </c>
      <c r="L9" s="101">
        <f>'[6]CT chi'!AD67</f>
        <v>45.223399999999998</v>
      </c>
      <c r="M9" s="101">
        <f>'[6]CT chi'!AD71</f>
        <v>142.94861999999998</v>
      </c>
      <c r="N9" s="101">
        <f>'[6]CT chi'!AD75</f>
        <v>28.866</v>
      </c>
      <c r="O9" s="101">
        <f>'[6]CT chi'!AD79</f>
        <v>25</v>
      </c>
      <c r="P9" s="101">
        <f>'[6]CT chi'!AD81</f>
        <v>250</v>
      </c>
      <c r="Q9" s="101">
        <f>'[6]DT thu'!AG12</f>
        <v>400</v>
      </c>
    </row>
    <row r="10" spans="1:251" x14ac:dyDescent="0.3">
      <c r="B10" s="100">
        <v>4</v>
      </c>
      <c r="C10" s="101" t="s">
        <v>220</v>
      </c>
      <c r="D10" s="101">
        <f t="shared" si="0"/>
        <v>4542.7816736299992</v>
      </c>
      <c r="E10" s="101">
        <f t="shared" si="1"/>
        <v>4542.7816736299992</v>
      </c>
      <c r="F10" s="101">
        <f>'[6]CT chi'!AN12</f>
        <v>3293.49127563</v>
      </c>
      <c r="G10" s="101">
        <f>'[6]CT chi'!AN36</f>
        <v>135.23635000000002</v>
      </c>
      <c r="H10" s="101">
        <f>'[6]CT chi'!AN46</f>
        <v>66.599999999999994</v>
      </c>
      <c r="I10" s="101">
        <f>'[6]CT chi'!AN49</f>
        <v>29.860109999999999</v>
      </c>
      <c r="J10" s="101">
        <f>'[6]CT chi'!AN52</f>
        <v>366.73935</v>
      </c>
      <c r="K10" s="101">
        <f>'[6]CT chi'!AN61</f>
        <v>126.75023800000001</v>
      </c>
      <c r="L10" s="101">
        <f>'[6]CT chi'!AN67</f>
        <v>53.039499999999997</v>
      </c>
      <c r="M10" s="101">
        <f>'[6]CT chi'!AN71</f>
        <v>183.20985000000002</v>
      </c>
      <c r="N10" s="101">
        <f>'[6]CT chi'!AN75</f>
        <v>33.854999999999997</v>
      </c>
      <c r="O10" s="101">
        <f>'[6]CT chi'!AN79</f>
        <v>23</v>
      </c>
      <c r="P10" s="101">
        <f>'[6]CT chi'!AN81</f>
        <v>231</v>
      </c>
      <c r="Q10" s="101">
        <f>'[6]DT thu'!AG13</f>
        <v>0</v>
      </c>
    </row>
    <row r="11" spans="1:251" x14ac:dyDescent="0.3">
      <c r="B11" s="100">
        <v>5</v>
      </c>
      <c r="C11" s="101" t="s">
        <v>221</v>
      </c>
      <c r="D11" s="101">
        <f t="shared" si="0"/>
        <v>4973.8770385600001</v>
      </c>
      <c r="E11" s="101">
        <f t="shared" si="1"/>
        <v>4973.8770385600001</v>
      </c>
      <c r="F11" s="101">
        <f>'[6]CT chi'!AX12</f>
        <v>3746.2683885599999</v>
      </c>
      <c r="G11" s="101">
        <f>'[6]CT chi'!AX36</f>
        <v>165.41201000000001</v>
      </c>
      <c r="H11" s="101">
        <f>'[6]CT chi'!AX46</f>
        <v>66.599999999999994</v>
      </c>
      <c r="I11" s="101">
        <f>'[6]CT chi'!AX49</f>
        <v>30.669785999999998</v>
      </c>
      <c r="J11" s="101">
        <f>'[6]CT chi'!AX52</f>
        <v>281.39625000000001</v>
      </c>
      <c r="K11" s="101">
        <f>'[6]CT chi'!AX61</f>
        <v>130.66179400000001</v>
      </c>
      <c r="L11" s="101">
        <f>'[6]CT chi'!AX67</f>
        <v>54.477699999999999</v>
      </c>
      <c r="M11" s="101">
        <f>'[6]CT chi'!AX71</f>
        <v>190.61811000000003</v>
      </c>
      <c r="N11" s="101">
        <f>'[6]CT chi'!AX75</f>
        <v>34.773000000000003</v>
      </c>
      <c r="O11" s="101">
        <f>'[6]CT chi'!AX79</f>
        <v>25</v>
      </c>
      <c r="P11" s="101">
        <f>'[6]CT chi'!AX81</f>
        <v>248</v>
      </c>
      <c r="Q11" s="101">
        <f>'[6]DT thu'!AG14</f>
        <v>0</v>
      </c>
    </row>
    <row r="12" spans="1:251" x14ac:dyDescent="0.3">
      <c r="B12" s="100">
        <v>6</v>
      </c>
      <c r="C12" s="101" t="s">
        <v>222</v>
      </c>
      <c r="D12" s="101">
        <f t="shared" si="0"/>
        <v>8057.7634100800005</v>
      </c>
      <c r="E12" s="101">
        <f t="shared" si="1"/>
        <v>7057.7634100800005</v>
      </c>
      <c r="F12" s="101">
        <f>'[6]CT chi'!BH12</f>
        <v>5174.72238208</v>
      </c>
      <c r="G12" s="101">
        <f>'[6]CT chi'!BH36</f>
        <v>235.64958000000001</v>
      </c>
      <c r="H12" s="101">
        <f>'[6]CT chi'!BH46</f>
        <v>83.7</v>
      </c>
      <c r="I12" s="101">
        <f>'[6]CT chi'!BH49</f>
        <v>38.573387999999994</v>
      </c>
      <c r="J12" s="101">
        <f>'[6]CT chi'!BH52</f>
        <v>671.05770000000007</v>
      </c>
      <c r="K12" s="101">
        <f>'[6]CT chi'!BH61</f>
        <v>159.87637999999998</v>
      </c>
      <c r="L12" s="101">
        <f>'[6]CT chi'!BH67</f>
        <v>68.516599999999997</v>
      </c>
      <c r="M12" s="101">
        <f>'[6]CT chi'!BH71</f>
        <v>217.93337999999997</v>
      </c>
      <c r="N12" s="101">
        <f>'[6]CT chi'!BH75</f>
        <v>43.734000000000002</v>
      </c>
      <c r="O12" s="101">
        <f>'[6]CT chi'!BH79</f>
        <v>35</v>
      </c>
      <c r="P12" s="101">
        <f>'[6]CT chi'!BH81</f>
        <v>329</v>
      </c>
      <c r="Q12" s="101">
        <f>'[6]DT thu'!AG15</f>
        <v>1000</v>
      </c>
    </row>
    <row r="13" spans="1:251" x14ac:dyDescent="0.3">
      <c r="B13" s="100">
        <v>7</v>
      </c>
      <c r="C13" s="101" t="s">
        <v>223</v>
      </c>
      <c r="D13" s="101">
        <f t="shared" si="0"/>
        <v>5360.3922112800001</v>
      </c>
      <c r="E13" s="101">
        <f t="shared" si="1"/>
        <v>5360.3922112800001</v>
      </c>
      <c r="F13" s="101">
        <f>'[6]CT chi'!BR12</f>
        <v>4057.2604852799996</v>
      </c>
      <c r="G13" s="101">
        <f>'[6]CT chi'!BR36</f>
        <v>155.78130999999999</v>
      </c>
      <c r="H13" s="101">
        <f>'[6]CT chi'!BR46</f>
        <v>66.599999999999994</v>
      </c>
      <c r="I13" s="101">
        <f>'[6]CT chi'!BR49</f>
        <v>29.690765999999996</v>
      </c>
      <c r="J13" s="101">
        <f>'[6]CT chi'!BR52</f>
        <v>365.34255000000002</v>
      </c>
      <c r="K13" s="101">
        <f>'[6]CT chi'!BR61</f>
        <v>128.65499</v>
      </c>
      <c r="L13" s="101">
        <f>'[6]CT chi'!BR67</f>
        <v>52.738700000000001</v>
      </c>
      <c r="M13" s="101">
        <f>'[6]CT chi'!BR71</f>
        <v>181.66040999999998</v>
      </c>
      <c r="N13" s="101">
        <f>'[6]CT chi'!BR75</f>
        <v>33.662999999999997</v>
      </c>
      <c r="O13" s="101">
        <f>'[6]CT chi'!BR79</f>
        <v>26</v>
      </c>
      <c r="P13" s="101">
        <f>'[6]CT chi'!BR81</f>
        <v>263</v>
      </c>
      <c r="Q13" s="101">
        <f>'[6]DT thu'!AG16</f>
        <v>0</v>
      </c>
    </row>
    <row r="14" spans="1:251" x14ac:dyDescent="0.3">
      <c r="B14" s="100">
        <v>8</v>
      </c>
      <c r="C14" s="101" t="s">
        <v>224</v>
      </c>
      <c r="D14" s="101">
        <f t="shared" si="0"/>
        <v>4346.230799599999</v>
      </c>
      <c r="E14" s="101">
        <f t="shared" si="1"/>
        <v>4346.230799599999</v>
      </c>
      <c r="F14" s="101">
        <f>'[6]CT chi'!CB12</f>
        <v>3430.9529435999998</v>
      </c>
      <c r="G14" s="101">
        <f>'[6]CT chi'!CB36</f>
        <v>116.23132000000001</v>
      </c>
      <c r="H14" s="101">
        <f>'[6]CT chi'!CB46</f>
        <v>66.599999999999994</v>
      </c>
      <c r="I14" s="101">
        <f>'[6]CT chi'!CB49</f>
        <v>22.787351999999998</v>
      </c>
      <c r="J14" s="101">
        <f>'[6]CT chi'!CB52</f>
        <v>215.26499999999999</v>
      </c>
      <c r="K14" s="101">
        <f>'[6]CT chi'!CB61</f>
        <v>112.58526400000001</v>
      </c>
      <c r="L14" s="101">
        <f>'[6]CT chi'!CB67</f>
        <v>40.476399999999998</v>
      </c>
      <c r="M14" s="101">
        <f>'[6]CT chi'!CB71</f>
        <v>118.49652</v>
      </c>
      <c r="N14" s="101">
        <f>'[6]CT chi'!CB75</f>
        <v>25.835999999999999</v>
      </c>
      <c r="O14" s="101">
        <f>'[6]CT chi'!CB79</f>
        <v>22</v>
      </c>
      <c r="P14" s="101">
        <f>'[6]CT chi'!CB81</f>
        <v>175</v>
      </c>
      <c r="Q14" s="101">
        <f>'[6]DT thu'!AG17</f>
        <v>0</v>
      </c>
    </row>
    <row r="15" spans="1:251" x14ac:dyDescent="0.3">
      <c r="B15" s="100">
        <v>9</v>
      </c>
      <c r="C15" s="101" t="s">
        <v>225</v>
      </c>
      <c r="D15" s="101">
        <f t="shared" si="0"/>
        <v>13792.827059039999</v>
      </c>
      <c r="E15" s="101">
        <f t="shared" si="1"/>
        <v>5792.8270590399989</v>
      </c>
      <c r="F15" s="101">
        <f>'[6]CT chi'!CL12</f>
        <v>4420.2933590399998</v>
      </c>
      <c r="G15" s="101">
        <f>'[6]CT chi'!CL36</f>
        <v>184.21501999999998</v>
      </c>
      <c r="H15" s="101">
        <f>'[6]CT chi'!CL46</f>
        <v>66.599999999999994</v>
      </c>
      <c r="I15" s="101">
        <f>'[6]CT chi'!CL49</f>
        <v>29.852171999999999</v>
      </c>
      <c r="J15" s="101">
        <f>'[6]CT chi'!CL52</f>
        <v>427.88970000000006</v>
      </c>
      <c r="K15" s="101">
        <f>'[6]CT chi'!CL61</f>
        <v>133.96818799999997</v>
      </c>
      <c r="L15" s="101">
        <f>'[6]CT chi'!CL67</f>
        <v>53.025399999999998</v>
      </c>
      <c r="M15" s="101">
        <f>'[6]CT chi'!CL71</f>
        <v>183.13721999999999</v>
      </c>
      <c r="N15" s="101">
        <f>'[6]CT chi'!CL75</f>
        <v>33.845999999999997</v>
      </c>
      <c r="O15" s="101">
        <f>'[6]CT chi'!CL79</f>
        <v>29</v>
      </c>
      <c r="P15" s="101">
        <f>'[6]CT chi'!CL81</f>
        <v>231</v>
      </c>
      <c r="Q15" s="101">
        <f>'[6]DT thu'!AG18</f>
        <v>8000</v>
      </c>
    </row>
    <row r="16" spans="1:251" x14ac:dyDescent="0.3">
      <c r="B16" s="100">
        <v>10</v>
      </c>
      <c r="C16" s="101" t="s">
        <v>226</v>
      </c>
      <c r="D16" s="101">
        <f t="shared" si="0"/>
        <v>4730.5147109999998</v>
      </c>
      <c r="E16" s="101">
        <f t="shared" si="1"/>
        <v>4730.5147109999998</v>
      </c>
      <c r="F16" s="101">
        <f>'[6]CT chi'!CV12</f>
        <v>3604.5115109999997</v>
      </c>
      <c r="G16" s="101">
        <f>'[6]CT chi'!CV36</f>
        <v>134.97327999999999</v>
      </c>
      <c r="H16" s="101">
        <f>'[6]CT chi'!CV46</f>
        <v>66.599999999999994</v>
      </c>
      <c r="I16" s="101">
        <f>'[6]CT chi'!CV49</f>
        <v>29.762207999999998</v>
      </c>
      <c r="J16" s="101">
        <f>'[6]CT chi'!CV52</f>
        <v>278.82240000000002</v>
      </c>
      <c r="K16" s="101">
        <f>'[6]CT chi'!CV61</f>
        <v>132.92163200000002</v>
      </c>
      <c r="L16" s="101">
        <f>'[6]CT chi'!CV67</f>
        <v>52.865600000000001</v>
      </c>
      <c r="M16" s="101">
        <f>'[6]CT chi'!CV71</f>
        <v>182.31407999999999</v>
      </c>
      <c r="N16" s="101">
        <f>'[6]CT chi'!CV75</f>
        <v>33.744</v>
      </c>
      <c r="O16" s="101">
        <f>'[6]CT chi'!CV79</f>
        <v>24</v>
      </c>
      <c r="P16" s="101">
        <f>'[6]CT chi'!CV81</f>
        <v>190</v>
      </c>
      <c r="Q16" s="101">
        <f>'[6]DT thu'!AG19</f>
        <v>0</v>
      </c>
    </row>
    <row r="17" spans="2:17" x14ac:dyDescent="0.3">
      <c r="B17" s="100">
        <v>11</v>
      </c>
      <c r="C17" s="101" t="s">
        <v>227</v>
      </c>
      <c r="D17" s="101">
        <f t="shared" si="0"/>
        <v>4684.9451743600002</v>
      </c>
      <c r="E17" s="101">
        <f t="shared" si="1"/>
        <v>4684.9451743600002</v>
      </c>
      <c r="F17" s="101">
        <f>'[6]CT chi'!DF12</f>
        <v>3558.6623633999998</v>
      </c>
      <c r="G17" s="101">
        <f>'[6]CT chi'!DF36</f>
        <v>148.70645000000002</v>
      </c>
      <c r="H17" s="101">
        <f>'[6]CT chi'!DF46</f>
        <v>66.599999999999994</v>
      </c>
      <c r="I17" s="101">
        <f>'[6]CT chi'!DF49</f>
        <v>32.267969999999998</v>
      </c>
      <c r="J17" s="101">
        <f>'[6]CT chi'!DF52</f>
        <v>287.42205000000001</v>
      </c>
      <c r="K17" s="101">
        <f>'[6]CT chi'!DF61</f>
        <v>125.14389096000001</v>
      </c>
      <c r="L17" s="101">
        <f>'[6]CT chi'!DF67</f>
        <v>57.316499999999998</v>
      </c>
      <c r="M17" s="101">
        <f>'[6]CT chi'!DF71</f>
        <v>160.24095</v>
      </c>
      <c r="N17" s="101">
        <f>'[6]CT chi'!DF75</f>
        <v>36.585000000000001</v>
      </c>
      <c r="O17" s="101">
        <f>'[6]CT chi'!DF79</f>
        <v>23</v>
      </c>
      <c r="P17" s="101">
        <f>'[6]CT chi'!DF81</f>
        <v>189</v>
      </c>
      <c r="Q17" s="101">
        <f>'[6]DT thu'!AG20</f>
        <v>0</v>
      </c>
    </row>
    <row r="18" spans="2:17" x14ac:dyDescent="0.3">
      <c r="B18" s="100">
        <v>12</v>
      </c>
      <c r="C18" s="101" t="s">
        <v>228</v>
      </c>
      <c r="D18" s="101">
        <f t="shared" si="0"/>
        <v>7058.7342445999984</v>
      </c>
      <c r="E18" s="101">
        <f t="shared" si="1"/>
        <v>4558.7342445999984</v>
      </c>
      <c r="F18" s="101">
        <f>'[6]CT chi'!DP12</f>
        <v>3435.8507225999997</v>
      </c>
      <c r="G18" s="101">
        <f>'[6]CT chi'!DP36</f>
        <v>137.61108999999999</v>
      </c>
      <c r="H18" s="101">
        <f>'[6]CT chi'!DP46</f>
        <v>66.599999999999994</v>
      </c>
      <c r="I18" s="101">
        <f>'[6]CT chi'!DP49</f>
        <v>30.743874000000002</v>
      </c>
      <c r="J18" s="101">
        <f>'[6]CT chi'!DP52</f>
        <v>285.44684999999998</v>
      </c>
      <c r="K18" s="101">
        <f>'[6]CT chi'!DP61</f>
        <v>114.719418</v>
      </c>
      <c r="L18" s="101">
        <f>'[6]CT chi'!DP67</f>
        <v>54.609299999999998</v>
      </c>
      <c r="M18" s="101">
        <f>'[6]CT chi'!DP71</f>
        <v>191.29599000000002</v>
      </c>
      <c r="N18" s="101">
        <f>'[6]CT chi'!DP75</f>
        <v>34.856999999999999</v>
      </c>
      <c r="O18" s="101">
        <f>'[6]CT chi'!DP79</f>
        <v>23</v>
      </c>
      <c r="P18" s="101">
        <f>'[6]CT chi'!DP81</f>
        <v>184</v>
      </c>
      <c r="Q18" s="101">
        <f>'[6]DT thu'!AG21</f>
        <v>2500</v>
      </c>
    </row>
    <row r="19" spans="2:17" x14ac:dyDescent="0.3">
      <c r="B19" s="100">
        <v>13</v>
      </c>
      <c r="C19" s="101" t="s">
        <v>229</v>
      </c>
      <c r="D19" s="101">
        <f t="shared" si="0"/>
        <v>5420.1006305199999</v>
      </c>
      <c r="E19" s="101">
        <f t="shared" si="1"/>
        <v>4520.1006305199999</v>
      </c>
      <c r="F19" s="101">
        <f>'[6]CT chi'!DZ12</f>
        <v>3474.0805585200001</v>
      </c>
      <c r="G19" s="101">
        <f>'[6]CT chi'!DZ36</f>
        <v>134.14852000000002</v>
      </c>
      <c r="H19" s="101">
        <f>'[6]CT chi'!DZ46</f>
        <v>66.599999999999994</v>
      </c>
      <c r="I19" s="101">
        <f>'[6]CT chi'!DZ49</f>
        <v>29.455271999999997</v>
      </c>
      <c r="J19" s="101">
        <f>'[6]CT chi'!DZ52</f>
        <v>229.69499999999999</v>
      </c>
      <c r="K19" s="101">
        <f>'[6]CT chi'!DZ61</f>
        <v>115.89916000000001</v>
      </c>
      <c r="L19" s="101">
        <f>'[6]CT chi'!DZ67</f>
        <v>52.320399999999999</v>
      </c>
      <c r="M19" s="101">
        <f>'[6]CT chi'!DZ71</f>
        <v>179.50572</v>
      </c>
      <c r="N19" s="101">
        <f>'[6]CT chi'!DZ75</f>
        <v>33.396000000000001</v>
      </c>
      <c r="O19" s="101">
        <f>'[6]CT chi'!DZ79</f>
        <v>23</v>
      </c>
      <c r="P19" s="101">
        <f>'[6]CT chi'!DZ81</f>
        <v>182</v>
      </c>
      <c r="Q19" s="101">
        <f>'[6]DT thu'!AG22</f>
        <v>900</v>
      </c>
    </row>
    <row r="20" spans="2:17" x14ac:dyDescent="0.3">
      <c r="B20" s="100">
        <v>14</v>
      </c>
      <c r="C20" s="101" t="s">
        <v>230</v>
      </c>
      <c r="D20" s="101">
        <f t="shared" si="0"/>
        <v>8494.0367688799997</v>
      </c>
      <c r="E20" s="101">
        <f t="shared" si="1"/>
        <v>4994.0367688799988</v>
      </c>
      <c r="F20" s="101">
        <f>'[6]CT chi'!EJ12</f>
        <v>3900.1233568799994</v>
      </c>
      <c r="G20" s="101">
        <f>'[6]CT chi'!EJ36</f>
        <v>134.35512</v>
      </c>
      <c r="H20" s="101">
        <f>'[6]CT chi'!EJ46</f>
        <v>66.599999999999994</v>
      </c>
      <c r="I20" s="101">
        <f>'[6]CT chi'!EJ49</f>
        <v>24.322032</v>
      </c>
      <c r="J20" s="101">
        <f>'[6]CT chi'!EJ52</f>
        <v>331.56240000000003</v>
      </c>
      <c r="K20" s="101">
        <f>'[6]CT chi'!EJ61</f>
        <v>108.75713999999999</v>
      </c>
      <c r="L20" s="101">
        <f>'[6]CT chi'!EJ67</f>
        <v>43.202399999999997</v>
      </c>
      <c r="M20" s="101">
        <f>'[6]CT chi'!EJ71</f>
        <v>132.53832</v>
      </c>
      <c r="N20" s="101">
        <f>'[6]CT chi'!EJ75</f>
        <v>27.576000000000001</v>
      </c>
      <c r="O20" s="101">
        <f>'[6]CT chi'!EJ79</f>
        <v>25</v>
      </c>
      <c r="P20" s="101">
        <f>'[6]CT chi'!EJ81</f>
        <v>200</v>
      </c>
      <c r="Q20" s="101">
        <f>'[6]DT thu'!AG23</f>
        <v>3500</v>
      </c>
    </row>
    <row r="21" spans="2:17" x14ac:dyDescent="0.3">
      <c r="B21" s="100">
        <v>15</v>
      </c>
      <c r="C21" s="102" t="s">
        <v>231</v>
      </c>
      <c r="D21" s="101">
        <f t="shared" si="0"/>
        <v>17333.697029480001</v>
      </c>
      <c r="E21" s="101">
        <f t="shared" si="1"/>
        <v>4833.6970294800003</v>
      </c>
      <c r="F21" s="101">
        <f>'[6]CT chi'!ET12</f>
        <v>3707.5064974799998</v>
      </c>
      <c r="G21" s="101">
        <f>'[6]CT chi'!ET36</f>
        <v>144.74994000000001</v>
      </c>
      <c r="H21" s="101">
        <f>'[6]CT chi'!ET46</f>
        <v>66.599999999999994</v>
      </c>
      <c r="I21" s="101">
        <f>'[6]CT chi'!ET49</f>
        <v>28.190483999999998</v>
      </c>
      <c r="J21" s="101">
        <f>'[6]CT chi'!ET52</f>
        <v>336.8433</v>
      </c>
      <c r="K21" s="101">
        <f>'[6]CT chi'!ET61</f>
        <v>120.08766799999999</v>
      </c>
      <c r="L21" s="101">
        <f>'[6]CT chi'!ET67</f>
        <v>50.073799999999999</v>
      </c>
      <c r="M21" s="101">
        <f>'[6]CT chi'!ET71</f>
        <v>129.68334000000002</v>
      </c>
      <c r="N21" s="101">
        <f>'[6]CT chi'!ET75</f>
        <v>31.962</v>
      </c>
      <c r="O21" s="101">
        <f>'[6]CT chi'!ET79</f>
        <v>24</v>
      </c>
      <c r="P21" s="101">
        <f>'[6]CT chi'!ET81</f>
        <v>194</v>
      </c>
      <c r="Q21" s="101">
        <f>'[6]DT thu'!AG24</f>
        <v>12500</v>
      </c>
    </row>
    <row r="22" spans="2:17" x14ac:dyDescent="0.3">
      <c r="B22" s="100">
        <v>16</v>
      </c>
      <c r="C22" s="101" t="s">
        <v>232</v>
      </c>
      <c r="D22" s="101">
        <f t="shared" si="0"/>
        <v>4343.1409689199991</v>
      </c>
      <c r="E22" s="101">
        <f t="shared" si="1"/>
        <v>4343.1409689199991</v>
      </c>
      <c r="F22" s="101">
        <f>'[6]CT chi'!FD12</f>
        <v>3143.3055649199996</v>
      </c>
      <c r="G22" s="101">
        <f>'[6]CT chi'!FD36</f>
        <v>102.11756</v>
      </c>
      <c r="H22" s="101">
        <f>'[6]CT chi'!FD46</f>
        <v>66.599999999999994</v>
      </c>
      <c r="I22" s="101">
        <f>'[6]CT chi'!FD49</f>
        <v>22.745016</v>
      </c>
      <c r="J22" s="101">
        <f>'[6]CT chi'!FD52</f>
        <v>530.85239999999999</v>
      </c>
      <c r="K22" s="101">
        <f>'[6]CT chi'!FD61</f>
        <v>96.222067999999993</v>
      </c>
      <c r="L22" s="101">
        <f>'[6]CT chi'!FD67</f>
        <v>40.401200000000003</v>
      </c>
      <c r="M22" s="101">
        <f>'[6]CT chi'!FD71</f>
        <v>118.10916</v>
      </c>
      <c r="N22" s="101">
        <f>'[6]CT chi'!FD75</f>
        <v>25.788</v>
      </c>
      <c r="O22" s="101">
        <f>'[6]CT chi'!FD79</f>
        <v>22</v>
      </c>
      <c r="P22" s="101">
        <f>'[6]CT chi'!FD81</f>
        <v>175</v>
      </c>
      <c r="Q22" s="101">
        <f>'[6]DT thu'!AG25</f>
        <v>0</v>
      </c>
    </row>
    <row r="23" spans="2:17" x14ac:dyDescent="0.3">
      <c r="B23" s="100">
        <v>17</v>
      </c>
      <c r="C23" s="101" t="s">
        <v>233</v>
      </c>
      <c r="D23" s="101">
        <f t="shared" si="0"/>
        <v>21193.538152640001</v>
      </c>
      <c r="E23" s="101">
        <f>SUM(F23:P23)</f>
        <v>5193.5381526400006</v>
      </c>
      <c r="F23" s="101">
        <f>'[6]CT chi'!FN12</f>
        <v>4001.01450264</v>
      </c>
      <c r="G23" s="101">
        <f>'[6]CT chi'!FN36</f>
        <v>190.60608999999999</v>
      </c>
      <c r="H23" s="101">
        <f>'[6]CT chi'!FN46</f>
        <v>66.599999999999994</v>
      </c>
      <c r="I23" s="101">
        <f>'[6]CT chi'!FN49</f>
        <v>42.650874000000002</v>
      </c>
      <c r="J23" s="101">
        <f>'[6]CT chi'!FN52</f>
        <v>169.47884999999999</v>
      </c>
      <c r="K23" s="101">
        <f>'[6]CT chi'!FN61</f>
        <v>154.830546</v>
      </c>
      <c r="L23" s="101">
        <f>'[6]CT chi'!FN67</f>
        <v>75.759299999999996</v>
      </c>
      <c r="M23" s="101">
        <f>'[6]CT chi'!FN71</f>
        <v>210.24098999999998</v>
      </c>
      <c r="N23" s="101">
        <f>'[6]CT chi'!FN75</f>
        <v>48.356999999999999</v>
      </c>
      <c r="O23" s="101">
        <f>'[6]CT chi'!FN79</f>
        <v>24</v>
      </c>
      <c r="P23" s="101">
        <f>'[6]CT chi'!FN81</f>
        <v>210</v>
      </c>
      <c r="Q23" s="101">
        <f>'[6]DT thu'!AG26</f>
        <v>16000</v>
      </c>
    </row>
    <row r="24" spans="2:17" x14ac:dyDescent="0.3">
      <c r="B24" s="545" t="s">
        <v>7</v>
      </c>
      <c r="C24" s="546"/>
      <c r="D24" s="104">
        <f>SUM(D7:D23)</f>
        <v>191923.86387524602</v>
      </c>
      <c r="E24" s="104">
        <f>SUM(E7:E23)</f>
        <v>91923.863875245996</v>
      </c>
      <c r="F24" s="104">
        <f>SUM(F7:F23)</f>
        <v>69669.310094285989</v>
      </c>
      <c r="G24" s="104">
        <f>SUM(G7:G23)</f>
        <v>2738.5039800000004</v>
      </c>
      <c r="H24" s="104">
        <f t="shared" ref="H24:Q24" si="2">SUM(H7:H23)</f>
        <v>1183.5</v>
      </c>
      <c r="I24" s="104">
        <f t="shared" si="2"/>
        <v>560.47395599999993</v>
      </c>
      <c r="J24" s="104">
        <f t="shared" si="2"/>
        <v>5980.6492200000002</v>
      </c>
      <c r="K24" s="104">
        <f t="shared" si="2"/>
        <v>2316.0110769600001</v>
      </c>
      <c r="L24" s="104">
        <f t="shared" si="2"/>
        <v>1022.7840079999999</v>
      </c>
      <c r="M24" s="104">
        <f t="shared" si="2"/>
        <v>3184.2743399999999</v>
      </c>
      <c r="N24" s="104">
        <f t="shared" si="2"/>
        <v>787.35719999999992</v>
      </c>
      <c r="O24" s="104">
        <f t="shared" si="2"/>
        <v>457</v>
      </c>
      <c r="P24" s="104">
        <f t="shared" si="2"/>
        <v>4024</v>
      </c>
      <c r="Q24" s="104">
        <f t="shared" si="2"/>
        <v>100000</v>
      </c>
    </row>
    <row r="28" spans="2:17" x14ac:dyDescent="0.3">
      <c r="E28" s="205"/>
    </row>
  </sheetData>
  <mergeCells count="10">
    <mergeCell ref="B24:C24"/>
    <mergeCell ref="B2:Q2"/>
    <mergeCell ref="B3:Q3"/>
    <mergeCell ref="P4:Q4"/>
    <mergeCell ref="B5:B6"/>
    <mergeCell ref="C5:C6"/>
    <mergeCell ref="D5:D6"/>
    <mergeCell ref="E5:E6"/>
    <mergeCell ref="F5:P5"/>
    <mergeCell ref="Q5:Q6"/>
  </mergeCells>
  <pageMargins left="0.39" right="0.25"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6"/>
  <sheetViews>
    <sheetView view="pageBreakPreview" zoomScale="85" zoomScaleNormal="100" zoomScaleSheetLayoutView="85" workbookViewId="0">
      <selection activeCell="F32" sqref="F32"/>
    </sheetView>
  </sheetViews>
  <sheetFormatPr defaultColWidth="7.59765625" defaultRowHeight="15.6" x14ac:dyDescent="0.3"/>
  <cols>
    <col min="1" max="1" width="7.59765625" style="121"/>
    <col min="2" max="2" width="22" style="121" customWidth="1"/>
    <col min="3" max="3" width="15.19921875" style="121" customWidth="1"/>
    <col min="4" max="4" width="17" style="121" customWidth="1"/>
    <col min="5" max="5" width="12.5" style="121" customWidth="1"/>
    <col min="6" max="6" width="18.5" style="121" customWidth="1"/>
    <col min="7" max="19" width="7.59765625" style="121" customWidth="1"/>
    <col min="20" max="256" width="7.59765625" style="121"/>
    <col min="257" max="257" width="18" style="121" customWidth="1"/>
    <col min="258" max="259" width="12.5" style="121" customWidth="1"/>
    <col min="260" max="260" width="0" style="121" hidden="1" customWidth="1"/>
    <col min="261" max="261" width="10.5" style="121" customWidth="1"/>
    <col min="262" max="512" width="7.59765625" style="121"/>
    <col min="513" max="513" width="18" style="121" customWidth="1"/>
    <col min="514" max="515" width="12.5" style="121" customWidth="1"/>
    <col min="516" max="516" width="0" style="121" hidden="1" customWidth="1"/>
    <col min="517" max="517" width="10.5" style="121" customWidth="1"/>
    <col min="518" max="768" width="7.59765625" style="121"/>
    <col min="769" max="769" width="18" style="121" customWidth="1"/>
    <col min="770" max="771" width="12.5" style="121" customWidth="1"/>
    <col min="772" max="772" width="0" style="121" hidden="1" customWidth="1"/>
    <col min="773" max="773" width="10.5" style="121" customWidth="1"/>
    <col min="774" max="1024" width="7.59765625" style="121"/>
    <col min="1025" max="1025" width="18" style="121" customWidth="1"/>
    <col min="1026" max="1027" width="12.5" style="121" customWidth="1"/>
    <col min="1028" max="1028" width="0" style="121" hidden="1" customWidth="1"/>
    <col min="1029" max="1029" width="10.5" style="121" customWidth="1"/>
    <col min="1030" max="1280" width="7.59765625" style="121"/>
    <col min="1281" max="1281" width="18" style="121" customWidth="1"/>
    <col min="1282" max="1283" width="12.5" style="121" customWidth="1"/>
    <col min="1284" max="1284" width="0" style="121" hidden="1" customWidth="1"/>
    <col min="1285" max="1285" width="10.5" style="121" customWidth="1"/>
    <col min="1286" max="1536" width="7.59765625" style="121"/>
    <col min="1537" max="1537" width="18" style="121" customWidth="1"/>
    <col min="1538" max="1539" width="12.5" style="121" customWidth="1"/>
    <col min="1540" max="1540" width="0" style="121" hidden="1" customWidth="1"/>
    <col min="1541" max="1541" width="10.5" style="121" customWidth="1"/>
    <col min="1542" max="1792" width="7.59765625" style="121"/>
    <col min="1793" max="1793" width="18" style="121" customWidth="1"/>
    <col min="1794" max="1795" width="12.5" style="121" customWidth="1"/>
    <col min="1796" max="1796" width="0" style="121" hidden="1" customWidth="1"/>
    <col min="1797" max="1797" width="10.5" style="121" customWidth="1"/>
    <col min="1798" max="2048" width="7.59765625" style="121"/>
    <col min="2049" max="2049" width="18" style="121" customWidth="1"/>
    <col min="2050" max="2051" width="12.5" style="121" customWidth="1"/>
    <col min="2052" max="2052" width="0" style="121" hidden="1" customWidth="1"/>
    <col min="2053" max="2053" width="10.5" style="121" customWidth="1"/>
    <col min="2054" max="2304" width="7.59765625" style="121"/>
    <col min="2305" max="2305" width="18" style="121" customWidth="1"/>
    <col min="2306" max="2307" width="12.5" style="121" customWidth="1"/>
    <col min="2308" max="2308" width="0" style="121" hidden="1" customWidth="1"/>
    <col min="2309" max="2309" width="10.5" style="121" customWidth="1"/>
    <col min="2310" max="2560" width="7.59765625" style="121"/>
    <col min="2561" max="2561" width="18" style="121" customWidth="1"/>
    <col min="2562" max="2563" width="12.5" style="121" customWidth="1"/>
    <col min="2564" max="2564" width="0" style="121" hidden="1" customWidth="1"/>
    <col min="2565" max="2565" width="10.5" style="121" customWidth="1"/>
    <col min="2566" max="2816" width="7.59765625" style="121"/>
    <col min="2817" max="2817" width="18" style="121" customWidth="1"/>
    <col min="2818" max="2819" width="12.5" style="121" customWidth="1"/>
    <col min="2820" max="2820" width="0" style="121" hidden="1" customWidth="1"/>
    <col min="2821" max="2821" width="10.5" style="121" customWidth="1"/>
    <col min="2822" max="3072" width="7.59765625" style="121"/>
    <col min="3073" max="3073" width="18" style="121" customWidth="1"/>
    <col min="3074" max="3075" width="12.5" style="121" customWidth="1"/>
    <col min="3076" max="3076" width="0" style="121" hidden="1" customWidth="1"/>
    <col min="3077" max="3077" width="10.5" style="121" customWidth="1"/>
    <col min="3078" max="3328" width="7.59765625" style="121"/>
    <col min="3329" max="3329" width="18" style="121" customWidth="1"/>
    <col min="3330" max="3331" width="12.5" style="121" customWidth="1"/>
    <col min="3332" max="3332" width="0" style="121" hidden="1" customWidth="1"/>
    <col min="3333" max="3333" width="10.5" style="121" customWidth="1"/>
    <col min="3334" max="3584" width="7.59765625" style="121"/>
    <col min="3585" max="3585" width="18" style="121" customWidth="1"/>
    <col min="3586" max="3587" width="12.5" style="121" customWidth="1"/>
    <col min="3588" max="3588" width="0" style="121" hidden="1" customWidth="1"/>
    <col min="3589" max="3589" width="10.5" style="121" customWidth="1"/>
    <col min="3590" max="3840" width="7.59765625" style="121"/>
    <col min="3841" max="3841" width="18" style="121" customWidth="1"/>
    <col min="3842" max="3843" width="12.5" style="121" customWidth="1"/>
    <col min="3844" max="3844" width="0" style="121" hidden="1" customWidth="1"/>
    <col min="3845" max="3845" width="10.5" style="121" customWidth="1"/>
    <col min="3846" max="4096" width="7.59765625" style="121"/>
    <col min="4097" max="4097" width="18" style="121" customWidth="1"/>
    <col min="4098" max="4099" width="12.5" style="121" customWidth="1"/>
    <col min="4100" max="4100" width="0" style="121" hidden="1" customWidth="1"/>
    <col min="4101" max="4101" width="10.5" style="121" customWidth="1"/>
    <col min="4102" max="4352" width="7.59765625" style="121"/>
    <col min="4353" max="4353" width="18" style="121" customWidth="1"/>
    <col min="4354" max="4355" width="12.5" style="121" customWidth="1"/>
    <col min="4356" max="4356" width="0" style="121" hidden="1" customWidth="1"/>
    <col min="4357" max="4357" width="10.5" style="121" customWidth="1"/>
    <col min="4358" max="4608" width="7.59765625" style="121"/>
    <col min="4609" max="4609" width="18" style="121" customWidth="1"/>
    <col min="4610" max="4611" width="12.5" style="121" customWidth="1"/>
    <col min="4612" max="4612" width="0" style="121" hidden="1" customWidth="1"/>
    <col min="4613" max="4613" width="10.5" style="121" customWidth="1"/>
    <col min="4614" max="4864" width="7.59765625" style="121"/>
    <col min="4865" max="4865" width="18" style="121" customWidth="1"/>
    <col min="4866" max="4867" width="12.5" style="121" customWidth="1"/>
    <col min="4868" max="4868" width="0" style="121" hidden="1" customWidth="1"/>
    <col min="4869" max="4869" width="10.5" style="121" customWidth="1"/>
    <col min="4870" max="5120" width="7.59765625" style="121"/>
    <col min="5121" max="5121" width="18" style="121" customWidth="1"/>
    <col min="5122" max="5123" width="12.5" style="121" customWidth="1"/>
    <col min="5124" max="5124" width="0" style="121" hidden="1" customWidth="1"/>
    <col min="5125" max="5125" width="10.5" style="121" customWidth="1"/>
    <col min="5126" max="5376" width="7.59765625" style="121"/>
    <col min="5377" max="5377" width="18" style="121" customWidth="1"/>
    <col min="5378" max="5379" width="12.5" style="121" customWidth="1"/>
    <col min="5380" max="5380" width="0" style="121" hidden="1" customWidth="1"/>
    <col min="5381" max="5381" width="10.5" style="121" customWidth="1"/>
    <col min="5382" max="5632" width="7.59765625" style="121"/>
    <col min="5633" max="5633" width="18" style="121" customWidth="1"/>
    <col min="5634" max="5635" width="12.5" style="121" customWidth="1"/>
    <col min="5636" max="5636" width="0" style="121" hidden="1" customWidth="1"/>
    <col min="5637" max="5637" width="10.5" style="121" customWidth="1"/>
    <col min="5638" max="5888" width="7.59765625" style="121"/>
    <col min="5889" max="5889" width="18" style="121" customWidth="1"/>
    <col min="5890" max="5891" width="12.5" style="121" customWidth="1"/>
    <col min="5892" max="5892" width="0" style="121" hidden="1" customWidth="1"/>
    <col min="5893" max="5893" width="10.5" style="121" customWidth="1"/>
    <col min="5894" max="6144" width="7.59765625" style="121"/>
    <col min="6145" max="6145" width="18" style="121" customWidth="1"/>
    <col min="6146" max="6147" width="12.5" style="121" customWidth="1"/>
    <col min="6148" max="6148" width="0" style="121" hidden="1" customWidth="1"/>
    <col min="6149" max="6149" width="10.5" style="121" customWidth="1"/>
    <col min="6150" max="6400" width="7.59765625" style="121"/>
    <col min="6401" max="6401" width="18" style="121" customWidth="1"/>
    <col min="6402" max="6403" width="12.5" style="121" customWidth="1"/>
    <col min="6404" max="6404" width="0" style="121" hidden="1" customWidth="1"/>
    <col min="6405" max="6405" width="10.5" style="121" customWidth="1"/>
    <col min="6406" max="6656" width="7.59765625" style="121"/>
    <col min="6657" max="6657" width="18" style="121" customWidth="1"/>
    <col min="6658" max="6659" width="12.5" style="121" customWidth="1"/>
    <col min="6660" max="6660" width="0" style="121" hidden="1" customWidth="1"/>
    <col min="6661" max="6661" width="10.5" style="121" customWidth="1"/>
    <col min="6662" max="6912" width="7.59765625" style="121"/>
    <col min="6913" max="6913" width="18" style="121" customWidth="1"/>
    <col min="6914" max="6915" width="12.5" style="121" customWidth="1"/>
    <col min="6916" max="6916" width="0" style="121" hidden="1" customWidth="1"/>
    <col min="6917" max="6917" width="10.5" style="121" customWidth="1"/>
    <col min="6918" max="7168" width="7.59765625" style="121"/>
    <col min="7169" max="7169" width="18" style="121" customWidth="1"/>
    <col min="7170" max="7171" width="12.5" style="121" customWidth="1"/>
    <col min="7172" max="7172" width="0" style="121" hidden="1" customWidth="1"/>
    <col min="7173" max="7173" width="10.5" style="121" customWidth="1"/>
    <col min="7174" max="7424" width="7.59765625" style="121"/>
    <col min="7425" max="7425" width="18" style="121" customWidth="1"/>
    <col min="7426" max="7427" width="12.5" style="121" customWidth="1"/>
    <col min="7428" max="7428" width="0" style="121" hidden="1" customWidth="1"/>
    <col min="7429" max="7429" width="10.5" style="121" customWidth="1"/>
    <col min="7430" max="7680" width="7.59765625" style="121"/>
    <col min="7681" max="7681" width="18" style="121" customWidth="1"/>
    <col min="7682" max="7683" width="12.5" style="121" customWidth="1"/>
    <col min="7684" max="7684" width="0" style="121" hidden="1" customWidth="1"/>
    <col min="7685" max="7685" width="10.5" style="121" customWidth="1"/>
    <col min="7686" max="7936" width="7.59765625" style="121"/>
    <col min="7937" max="7937" width="18" style="121" customWidth="1"/>
    <col min="7938" max="7939" width="12.5" style="121" customWidth="1"/>
    <col min="7940" max="7940" width="0" style="121" hidden="1" customWidth="1"/>
    <col min="7941" max="7941" width="10.5" style="121" customWidth="1"/>
    <col min="7942" max="8192" width="7.59765625" style="121"/>
    <col min="8193" max="8193" width="18" style="121" customWidth="1"/>
    <col min="8194" max="8195" width="12.5" style="121" customWidth="1"/>
    <col min="8196" max="8196" width="0" style="121" hidden="1" customWidth="1"/>
    <col min="8197" max="8197" width="10.5" style="121" customWidth="1"/>
    <col min="8198" max="8448" width="7.59765625" style="121"/>
    <col min="8449" max="8449" width="18" style="121" customWidth="1"/>
    <col min="8450" max="8451" width="12.5" style="121" customWidth="1"/>
    <col min="8452" max="8452" width="0" style="121" hidden="1" customWidth="1"/>
    <col min="8453" max="8453" width="10.5" style="121" customWidth="1"/>
    <col min="8454" max="8704" width="7.59765625" style="121"/>
    <col min="8705" max="8705" width="18" style="121" customWidth="1"/>
    <col min="8706" max="8707" width="12.5" style="121" customWidth="1"/>
    <col min="8708" max="8708" width="0" style="121" hidden="1" customWidth="1"/>
    <col min="8709" max="8709" width="10.5" style="121" customWidth="1"/>
    <col min="8710" max="8960" width="7.59765625" style="121"/>
    <col min="8961" max="8961" width="18" style="121" customWidth="1"/>
    <col min="8962" max="8963" width="12.5" style="121" customWidth="1"/>
    <col min="8964" max="8964" width="0" style="121" hidden="1" customWidth="1"/>
    <col min="8965" max="8965" width="10.5" style="121" customWidth="1"/>
    <col min="8966" max="9216" width="7.59765625" style="121"/>
    <col min="9217" max="9217" width="18" style="121" customWidth="1"/>
    <col min="9218" max="9219" width="12.5" style="121" customWidth="1"/>
    <col min="9220" max="9220" width="0" style="121" hidden="1" customWidth="1"/>
    <col min="9221" max="9221" width="10.5" style="121" customWidth="1"/>
    <col min="9222" max="9472" width="7.59765625" style="121"/>
    <col min="9473" max="9473" width="18" style="121" customWidth="1"/>
    <col min="9474" max="9475" width="12.5" style="121" customWidth="1"/>
    <col min="9476" max="9476" width="0" style="121" hidden="1" customWidth="1"/>
    <col min="9477" max="9477" width="10.5" style="121" customWidth="1"/>
    <col min="9478" max="9728" width="7.59765625" style="121"/>
    <col min="9729" max="9729" width="18" style="121" customWidth="1"/>
    <col min="9730" max="9731" width="12.5" style="121" customWidth="1"/>
    <col min="9732" max="9732" width="0" style="121" hidden="1" customWidth="1"/>
    <col min="9733" max="9733" width="10.5" style="121" customWidth="1"/>
    <col min="9734" max="9984" width="7.59765625" style="121"/>
    <col min="9985" max="9985" width="18" style="121" customWidth="1"/>
    <col min="9986" max="9987" width="12.5" style="121" customWidth="1"/>
    <col min="9988" max="9988" width="0" style="121" hidden="1" customWidth="1"/>
    <col min="9989" max="9989" width="10.5" style="121" customWidth="1"/>
    <col min="9990" max="10240" width="7.59765625" style="121"/>
    <col min="10241" max="10241" width="18" style="121" customWidth="1"/>
    <col min="10242" max="10243" width="12.5" style="121" customWidth="1"/>
    <col min="10244" max="10244" width="0" style="121" hidden="1" customWidth="1"/>
    <col min="10245" max="10245" width="10.5" style="121" customWidth="1"/>
    <col min="10246" max="10496" width="7.59765625" style="121"/>
    <col min="10497" max="10497" width="18" style="121" customWidth="1"/>
    <col min="10498" max="10499" width="12.5" style="121" customWidth="1"/>
    <col min="10500" max="10500" width="0" style="121" hidden="1" customWidth="1"/>
    <col min="10501" max="10501" width="10.5" style="121" customWidth="1"/>
    <col min="10502" max="10752" width="7.59765625" style="121"/>
    <col min="10753" max="10753" width="18" style="121" customWidth="1"/>
    <col min="10754" max="10755" width="12.5" style="121" customWidth="1"/>
    <col min="10756" max="10756" width="0" style="121" hidden="1" customWidth="1"/>
    <col min="10757" max="10757" width="10.5" style="121" customWidth="1"/>
    <col min="10758" max="11008" width="7.59765625" style="121"/>
    <col min="11009" max="11009" width="18" style="121" customWidth="1"/>
    <col min="11010" max="11011" width="12.5" style="121" customWidth="1"/>
    <col min="11012" max="11012" width="0" style="121" hidden="1" customWidth="1"/>
    <col min="11013" max="11013" width="10.5" style="121" customWidth="1"/>
    <col min="11014" max="11264" width="7.59765625" style="121"/>
    <col min="11265" max="11265" width="18" style="121" customWidth="1"/>
    <col min="11266" max="11267" width="12.5" style="121" customWidth="1"/>
    <col min="11268" max="11268" width="0" style="121" hidden="1" customWidth="1"/>
    <col min="11269" max="11269" width="10.5" style="121" customWidth="1"/>
    <col min="11270" max="11520" width="7.59765625" style="121"/>
    <col min="11521" max="11521" width="18" style="121" customWidth="1"/>
    <col min="11522" max="11523" width="12.5" style="121" customWidth="1"/>
    <col min="11524" max="11524" width="0" style="121" hidden="1" customWidth="1"/>
    <col min="11525" max="11525" width="10.5" style="121" customWidth="1"/>
    <col min="11526" max="11776" width="7.59765625" style="121"/>
    <col min="11777" max="11777" width="18" style="121" customWidth="1"/>
    <col min="11778" max="11779" width="12.5" style="121" customWidth="1"/>
    <col min="11780" max="11780" width="0" style="121" hidden="1" customWidth="1"/>
    <col min="11781" max="11781" width="10.5" style="121" customWidth="1"/>
    <col min="11782" max="12032" width="7.59765625" style="121"/>
    <col min="12033" max="12033" width="18" style="121" customWidth="1"/>
    <col min="12034" max="12035" width="12.5" style="121" customWidth="1"/>
    <col min="12036" max="12036" width="0" style="121" hidden="1" customWidth="1"/>
    <col min="12037" max="12037" width="10.5" style="121" customWidth="1"/>
    <col min="12038" max="12288" width="7.59765625" style="121"/>
    <col min="12289" max="12289" width="18" style="121" customWidth="1"/>
    <col min="12290" max="12291" width="12.5" style="121" customWidth="1"/>
    <col min="12292" max="12292" width="0" style="121" hidden="1" customWidth="1"/>
    <col min="12293" max="12293" width="10.5" style="121" customWidth="1"/>
    <col min="12294" max="12544" width="7.59765625" style="121"/>
    <col min="12545" max="12545" width="18" style="121" customWidth="1"/>
    <col min="12546" max="12547" width="12.5" style="121" customWidth="1"/>
    <col min="12548" max="12548" width="0" style="121" hidden="1" customWidth="1"/>
    <col min="12549" max="12549" width="10.5" style="121" customWidth="1"/>
    <col min="12550" max="12800" width="7.59765625" style="121"/>
    <col min="12801" max="12801" width="18" style="121" customWidth="1"/>
    <col min="12802" max="12803" width="12.5" style="121" customWidth="1"/>
    <col min="12804" max="12804" width="0" style="121" hidden="1" customWidth="1"/>
    <col min="12805" max="12805" width="10.5" style="121" customWidth="1"/>
    <col min="12806" max="13056" width="7.59765625" style="121"/>
    <col min="13057" max="13057" width="18" style="121" customWidth="1"/>
    <col min="13058" max="13059" width="12.5" style="121" customWidth="1"/>
    <col min="13060" max="13060" width="0" style="121" hidden="1" customWidth="1"/>
    <col min="13061" max="13061" width="10.5" style="121" customWidth="1"/>
    <col min="13062" max="13312" width="7.59765625" style="121"/>
    <col min="13313" max="13313" width="18" style="121" customWidth="1"/>
    <col min="13314" max="13315" width="12.5" style="121" customWidth="1"/>
    <col min="13316" max="13316" width="0" style="121" hidden="1" customWidth="1"/>
    <col min="13317" max="13317" width="10.5" style="121" customWidth="1"/>
    <col min="13318" max="13568" width="7.59765625" style="121"/>
    <col min="13569" max="13569" width="18" style="121" customWidth="1"/>
    <col min="13570" max="13571" width="12.5" style="121" customWidth="1"/>
    <col min="13572" max="13572" width="0" style="121" hidden="1" customWidth="1"/>
    <col min="13573" max="13573" width="10.5" style="121" customWidth="1"/>
    <col min="13574" max="13824" width="7.59765625" style="121"/>
    <col min="13825" max="13825" width="18" style="121" customWidth="1"/>
    <col min="13826" max="13827" width="12.5" style="121" customWidth="1"/>
    <col min="13828" max="13828" width="0" style="121" hidden="1" customWidth="1"/>
    <col min="13829" max="13829" width="10.5" style="121" customWidth="1"/>
    <col min="13830" max="14080" width="7.59765625" style="121"/>
    <col min="14081" max="14081" width="18" style="121" customWidth="1"/>
    <col min="14082" max="14083" width="12.5" style="121" customWidth="1"/>
    <col min="14084" max="14084" width="0" style="121" hidden="1" customWidth="1"/>
    <col min="14085" max="14085" width="10.5" style="121" customWidth="1"/>
    <col min="14086" max="14336" width="7.59765625" style="121"/>
    <col min="14337" max="14337" width="18" style="121" customWidth="1"/>
    <col min="14338" max="14339" width="12.5" style="121" customWidth="1"/>
    <col min="14340" max="14340" width="0" style="121" hidden="1" customWidth="1"/>
    <col min="14341" max="14341" width="10.5" style="121" customWidth="1"/>
    <col min="14342" max="14592" width="7.59765625" style="121"/>
    <col min="14593" max="14593" width="18" style="121" customWidth="1"/>
    <col min="14594" max="14595" width="12.5" style="121" customWidth="1"/>
    <col min="14596" max="14596" width="0" style="121" hidden="1" customWidth="1"/>
    <col min="14597" max="14597" width="10.5" style="121" customWidth="1"/>
    <col min="14598" max="14848" width="7.59765625" style="121"/>
    <col min="14849" max="14849" width="18" style="121" customWidth="1"/>
    <col min="14850" max="14851" width="12.5" style="121" customWidth="1"/>
    <col min="14852" max="14852" width="0" style="121" hidden="1" customWidth="1"/>
    <col min="14853" max="14853" width="10.5" style="121" customWidth="1"/>
    <col min="14854" max="15104" width="7.59765625" style="121"/>
    <col min="15105" max="15105" width="18" style="121" customWidth="1"/>
    <col min="15106" max="15107" width="12.5" style="121" customWidth="1"/>
    <col min="15108" max="15108" width="0" style="121" hidden="1" customWidth="1"/>
    <col min="15109" max="15109" width="10.5" style="121" customWidth="1"/>
    <col min="15110" max="15360" width="7.59765625" style="121"/>
    <col min="15361" max="15361" width="18" style="121" customWidth="1"/>
    <col min="15362" max="15363" width="12.5" style="121" customWidth="1"/>
    <col min="15364" max="15364" width="0" style="121" hidden="1" customWidth="1"/>
    <col min="15365" max="15365" width="10.5" style="121" customWidth="1"/>
    <col min="15366" max="15616" width="7.59765625" style="121"/>
    <col min="15617" max="15617" width="18" style="121" customWidth="1"/>
    <col min="15618" max="15619" width="12.5" style="121" customWidth="1"/>
    <col min="15620" max="15620" width="0" style="121" hidden="1" customWidth="1"/>
    <col min="15621" max="15621" width="10.5" style="121" customWidth="1"/>
    <col min="15622" max="15872" width="7.59765625" style="121"/>
    <col min="15873" max="15873" width="18" style="121" customWidth="1"/>
    <col min="15874" max="15875" width="12.5" style="121" customWidth="1"/>
    <col min="15876" max="15876" width="0" style="121" hidden="1" customWidth="1"/>
    <col min="15877" max="15877" width="10.5" style="121" customWidth="1"/>
    <col min="15878" max="16128" width="7.59765625" style="121"/>
    <col min="16129" max="16129" width="18" style="121" customWidth="1"/>
    <col min="16130" max="16131" width="12.5" style="121" customWidth="1"/>
    <col min="16132" max="16132" width="0" style="121" hidden="1" customWidth="1"/>
    <col min="16133" max="16133" width="10.5" style="121" customWidth="1"/>
    <col min="16134" max="16384" width="7.59765625" style="121"/>
  </cols>
  <sheetData>
    <row r="1" spans="1:34" x14ac:dyDescent="0.3">
      <c r="A1" s="111" t="s">
        <v>192</v>
      </c>
      <c r="F1" s="211" t="s">
        <v>324</v>
      </c>
    </row>
    <row r="2" spans="1:34" x14ac:dyDescent="0.3">
      <c r="A2" s="552" t="s">
        <v>311</v>
      </c>
      <c r="B2" s="552"/>
      <c r="C2" s="552"/>
      <c r="D2" s="552"/>
      <c r="E2" s="552"/>
      <c r="F2" s="552"/>
    </row>
    <row r="3" spans="1:34" x14ac:dyDescent="0.3">
      <c r="AH3" s="121" t="s">
        <v>241</v>
      </c>
    </row>
    <row r="4" spans="1:34" s="124" customFormat="1" ht="31.2" x14ac:dyDescent="0.3">
      <c r="A4" s="122" t="s">
        <v>1</v>
      </c>
      <c r="B4" s="122" t="s">
        <v>207</v>
      </c>
      <c r="C4" s="123" t="s">
        <v>187</v>
      </c>
      <c r="D4" s="123" t="s">
        <v>312</v>
      </c>
      <c r="E4" s="123" t="s">
        <v>41</v>
      </c>
      <c r="F4" s="123" t="s">
        <v>313</v>
      </c>
    </row>
    <row r="5" spans="1:34" x14ac:dyDescent="0.3">
      <c r="A5" s="115">
        <v>1</v>
      </c>
      <c r="B5" s="112" t="s">
        <v>217</v>
      </c>
      <c r="C5" s="125">
        <v>13460</v>
      </c>
      <c r="D5" s="125">
        <v>8686.0116218000003</v>
      </c>
      <c r="E5" s="125">
        <v>-4773.9883781999997</v>
      </c>
      <c r="F5" s="125"/>
    </row>
    <row r="6" spans="1:34" x14ac:dyDescent="0.3">
      <c r="A6" s="115">
        <v>2</v>
      </c>
      <c r="B6" s="112" t="s">
        <v>218</v>
      </c>
      <c r="C6" s="125">
        <v>10281.099999999999</v>
      </c>
      <c r="D6" s="125">
        <v>8265.0909192159997</v>
      </c>
      <c r="E6" s="125">
        <v>-2016.0090807839988</v>
      </c>
      <c r="F6" s="125"/>
    </row>
    <row r="7" spans="1:34" x14ac:dyDescent="0.3">
      <c r="A7" s="115">
        <v>3</v>
      </c>
      <c r="B7" s="112" t="s">
        <v>219</v>
      </c>
      <c r="C7" s="125">
        <v>1330</v>
      </c>
      <c r="D7" s="125">
        <v>5040.1814616399988</v>
      </c>
      <c r="E7" s="125">
        <v>3710.1814616399988</v>
      </c>
      <c r="F7" s="125">
        <v>3710.1814616399988</v>
      </c>
    </row>
    <row r="8" spans="1:34" x14ac:dyDescent="0.3">
      <c r="A8" s="115">
        <v>4</v>
      </c>
      <c r="B8" s="112" t="s">
        <v>220</v>
      </c>
      <c r="C8" s="125">
        <v>1838</v>
      </c>
      <c r="D8" s="125">
        <v>4542.7816736299992</v>
      </c>
      <c r="E8" s="125">
        <v>2704.7816736299992</v>
      </c>
      <c r="F8" s="125">
        <v>2704.7816736299992</v>
      </c>
      <c r="AE8" s="121">
        <f>+AE11+AE38+AE41</f>
        <v>0</v>
      </c>
    </row>
    <row r="9" spans="1:34" x14ac:dyDescent="0.3">
      <c r="A9" s="115">
        <v>5</v>
      </c>
      <c r="B9" s="112" t="s">
        <v>221</v>
      </c>
      <c r="C9" s="125">
        <v>1405</v>
      </c>
      <c r="D9" s="125">
        <v>4973.8770385600001</v>
      </c>
      <c r="E9" s="125">
        <v>3568.8770385600001</v>
      </c>
      <c r="F9" s="125">
        <v>3568.8770385600001</v>
      </c>
    </row>
    <row r="10" spans="1:34" x14ac:dyDescent="0.3">
      <c r="A10" s="115">
        <v>6</v>
      </c>
      <c r="B10" s="112" t="s">
        <v>222</v>
      </c>
      <c r="C10" s="125">
        <v>1455</v>
      </c>
      <c r="D10" s="125">
        <v>7057.7634100800005</v>
      </c>
      <c r="E10" s="125">
        <v>5602.7634100800005</v>
      </c>
      <c r="F10" s="125">
        <v>5602.7634100800005</v>
      </c>
    </row>
    <row r="11" spans="1:34" x14ac:dyDescent="0.3">
      <c r="A11" s="115">
        <v>7</v>
      </c>
      <c r="B11" s="112" t="s">
        <v>223</v>
      </c>
      <c r="C11" s="125">
        <v>1050</v>
      </c>
      <c r="D11" s="125">
        <v>5360.3922112800001</v>
      </c>
      <c r="E11" s="125">
        <v>4310.3922112800001</v>
      </c>
      <c r="F11" s="125">
        <v>4310.3922112800001</v>
      </c>
    </row>
    <row r="12" spans="1:34" x14ac:dyDescent="0.3">
      <c r="A12" s="115">
        <v>8</v>
      </c>
      <c r="B12" s="112" t="s">
        <v>224</v>
      </c>
      <c r="C12" s="125">
        <v>2105</v>
      </c>
      <c r="D12" s="125">
        <v>4346.230799599999</v>
      </c>
      <c r="E12" s="125">
        <v>2241.230799599999</v>
      </c>
      <c r="F12" s="125">
        <v>2241.230799599999</v>
      </c>
    </row>
    <row r="13" spans="1:34" x14ac:dyDescent="0.3">
      <c r="A13" s="115">
        <v>9</v>
      </c>
      <c r="B13" s="112" t="s">
        <v>225</v>
      </c>
      <c r="C13" s="125">
        <v>1335</v>
      </c>
      <c r="D13" s="125">
        <v>5792.8270590399989</v>
      </c>
      <c r="E13" s="125">
        <v>4457.8270590399989</v>
      </c>
      <c r="F13" s="125">
        <v>4457.8270590399989</v>
      </c>
    </row>
    <row r="14" spans="1:34" x14ac:dyDescent="0.3">
      <c r="A14" s="115">
        <v>10</v>
      </c>
      <c r="B14" s="112" t="s">
        <v>226</v>
      </c>
      <c r="C14" s="125">
        <v>4609</v>
      </c>
      <c r="D14" s="125">
        <v>4730.5147109999998</v>
      </c>
      <c r="E14" s="125">
        <v>121.51471099999981</v>
      </c>
      <c r="F14" s="125">
        <v>121.51471099999981</v>
      </c>
    </row>
    <row r="15" spans="1:34" x14ac:dyDescent="0.3">
      <c r="A15" s="115">
        <v>11</v>
      </c>
      <c r="B15" s="112" t="s">
        <v>227</v>
      </c>
      <c r="C15" s="125">
        <v>690</v>
      </c>
      <c r="D15" s="125">
        <v>4684.9451743600002</v>
      </c>
      <c r="E15" s="125">
        <v>3994.9451743600002</v>
      </c>
      <c r="F15" s="125">
        <v>3994.9451743600002</v>
      </c>
    </row>
    <row r="16" spans="1:34" x14ac:dyDescent="0.3">
      <c r="A16" s="115">
        <v>12</v>
      </c>
      <c r="B16" s="112" t="s">
        <v>228</v>
      </c>
      <c r="C16" s="125">
        <v>4392</v>
      </c>
      <c r="D16" s="125">
        <v>4558.7342445999984</v>
      </c>
      <c r="E16" s="125">
        <v>166.73424459999842</v>
      </c>
      <c r="F16" s="125">
        <v>166.73424459999842</v>
      </c>
    </row>
    <row r="17" spans="1:6" x14ac:dyDescent="0.3">
      <c r="A17" s="115">
        <v>13</v>
      </c>
      <c r="B17" s="112" t="s">
        <v>229</v>
      </c>
      <c r="C17" s="125">
        <v>1300</v>
      </c>
      <c r="D17" s="125">
        <v>4520.1006305199999</v>
      </c>
      <c r="E17" s="125">
        <v>3220.1006305199999</v>
      </c>
      <c r="F17" s="125">
        <v>3220.1006305199999</v>
      </c>
    </row>
    <row r="18" spans="1:6" x14ac:dyDescent="0.3">
      <c r="A18" s="115">
        <v>14</v>
      </c>
      <c r="B18" s="112" t="s">
        <v>230</v>
      </c>
      <c r="C18" s="125">
        <v>1410</v>
      </c>
      <c r="D18" s="125">
        <v>4994.0367688799988</v>
      </c>
      <c r="E18" s="125">
        <v>3584.0367688799988</v>
      </c>
      <c r="F18" s="125">
        <v>3584.0367688799988</v>
      </c>
    </row>
    <row r="19" spans="1:6" x14ac:dyDescent="0.3">
      <c r="A19" s="115">
        <v>15</v>
      </c>
      <c r="B19" s="113" t="s">
        <v>231</v>
      </c>
      <c r="C19" s="125">
        <v>3390</v>
      </c>
      <c r="D19" s="125">
        <v>4833.6970294800003</v>
      </c>
      <c r="E19" s="125">
        <v>1443.6970294800003</v>
      </c>
      <c r="F19" s="125">
        <v>1443.6970294800003</v>
      </c>
    </row>
    <row r="20" spans="1:6" x14ac:dyDescent="0.3">
      <c r="A20" s="115">
        <v>16</v>
      </c>
      <c r="B20" s="112" t="s">
        <v>232</v>
      </c>
      <c r="C20" s="125">
        <v>340</v>
      </c>
      <c r="D20" s="125">
        <v>4343.1409689199991</v>
      </c>
      <c r="E20" s="125">
        <v>4003.1409689199991</v>
      </c>
      <c r="F20" s="125">
        <v>4003.1409689199991</v>
      </c>
    </row>
    <row r="21" spans="1:6" x14ac:dyDescent="0.3">
      <c r="A21" s="116">
        <v>17</v>
      </c>
      <c r="B21" s="117" t="s">
        <v>233</v>
      </c>
      <c r="C21" s="126">
        <v>9060</v>
      </c>
      <c r="D21" s="126">
        <v>5193.5381526400006</v>
      </c>
      <c r="E21" s="126">
        <v>-3866.4618473599994</v>
      </c>
      <c r="F21" s="126"/>
    </row>
    <row r="22" spans="1:6" x14ac:dyDescent="0.3">
      <c r="A22" s="103"/>
      <c r="B22" s="104" t="s">
        <v>7</v>
      </c>
      <c r="C22" s="127">
        <f>SUM(C5:C21)</f>
        <v>59450.1</v>
      </c>
      <c r="D22" s="127">
        <f>SUM(D5:D21)</f>
        <v>91923.863875245996</v>
      </c>
      <c r="E22" s="127">
        <f>SUM(E5:E21)</f>
        <v>32473.763875245997</v>
      </c>
      <c r="F22" s="127">
        <f>SUM(F5:F21)</f>
        <v>43130.223181589987</v>
      </c>
    </row>
    <row r="23" spans="1:6" x14ac:dyDescent="0.3">
      <c r="A23" s="128"/>
      <c r="B23" s="114" t="s">
        <v>158</v>
      </c>
      <c r="C23" s="129" t="s">
        <v>314</v>
      </c>
      <c r="D23" s="130"/>
      <c r="E23" s="131"/>
      <c r="F23" s="131">
        <v>34485</v>
      </c>
    </row>
    <row r="24" spans="1:6" x14ac:dyDescent="0.3">
      <c r="A24" s="132"/>
      <c r="B24" s="132"/>
      <c r="C24" s="133" t="s">
        <v>315</v>
      </c>
      <c r="D24" s="133"/>
      <c r="E24" s="132"/>
      <c r="F24" s="134">
        <f>+F22-F23</f>
        <v>8645.2231815899868</v>
      </c>
    </row>
    <row r="25" spans="1:6" x14ac:dyDescent="0.3">
      <c r="C25" s="135"/>
    </row>
    <row r="26" spans="1:6" x14ac:dyDescent="0.3">
      <c r="C26" s="135"/>
    </row>
    <row r="29" spans="1:6" hidden="1" x14ac:dyDescent="0.3"/>
    <row r="38" spans="26:29" s="213" customFormat="1" x14ac:dyDescent="0.3">
      <c r="Z38" s="213">
        <f>+AA38+AB38+AC38+AD38</f>
        <v>0</v>
      </c>
      <c r="AC38" s="213">
        <f>+AC39+AC40</f>
        <v>0</v>
      </c>
    </row>
    <row r="69" spans="2:34" hidden="1" x14ac:dyDescent="0.3"/>
    <row r="70" spans="2:34" hidden="1" x14ac:dyDescent="0.3"/>
    <row r="74" spans="2:34" x14ac:dyDescent="0.3">
      <c r="B74" s="121" t="s">
        <v>299</v>
      </c>
      <c r="AH74" s="121">
        <v>1500</v>
      </c>
    </row>
    <row r="77" spans="2:34" x14ac:dyDescent="0.3">
      <c r="AH77" s="121">
        <f>-AH72+20000-5000-AH76-AH74</f>
        <v>13500</v>
      </c>
    </row>
    <row r="86" hidden="1" x14ac:dyDescent="0.3"/>
  </sheetData>
  <mergeCells count="1">
    <mergeCell ref="A2:F2"/>
  </mergeCells>
  <pageMargins left="0.7" right="0.7" top="0.75" bottom="0.75" header="0.3" footer="0.3"/>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5"/>
  <sheetViews>
    <sheetView view="pageBreakPreview" zoomScale="60" zoomScaleNormal="87" workbookViewId="0">
      <pane xSplit="23" ySplit="6" topLeftCell="X96" activePane="bottomRight" state="frozen"/>
      <selection activeCell="B15" sqref="B15"/>
      <selection pane="topRight" activeCell="B15" sqref="B15"/>
      <selection pane="bottomLeft" activeCell="B15" sqref="B15"/>
      <selection pane="bottomRight" activeCell="AC165" sqref="AC165"/>
    </sheetView>
  </sheetViews>
  <sheetFormatPr defaultColWidth="9" defaultRowHeight="15.6" x14ac:dyDescent="0.3"/>
  <cols>
    <col min="1" max="1" width="5.69921875" style="35" customWidth="1"/>
    <col min="2" max="2" width="32.69921875" customWidth="1"/>
    <col min="3" max="3" width="7.5" style="96" hidden="1" customWidth="1"/>
    <col min="4" max="4" width="5.8984375" style="96" hidden="1" customWidth="1"/>
    <col min="5" max="5" width="7" style="96" hidden="1" customWidth="1"/>
    <col min="6" max="6" width="10.09765625" style="96" hidden="1" customWidth="1"/>
    <col min="7" max="9" width="9" style="162" hidden="1" customWidth="1"/>
    <col min="10" max="10" width="12.09765625" style="162" hidden="1" customWidth="1"/>
    <col min="11" max="11" width="11.8984375" style="162" hidden="1" customWidth="1"/>
    <col min="12" max="12" width="9.3984375" style="162" hidden="1" customWidth="1"/>
    <col min="13" max="13" width="10.59765625" style="162" hidden="1" customWidth="1"/>
    <col min="14" max="19" width="9" style="162" hidden="1" customWidth="1"/>
    <col min="20" max="20" width="9" style="96" hidden="1" customWidth="1"/>
    <col min="21" max="21" width="10" style="96" hidden="1" customWidth="1"/>
    <col min="22" max="23" width="14" style="96" hidden="1" customWidth="1"/>
    <col min="24" max="24" width="10" style="96" customWidth="1"/>
    <col min="25" max="25" width="10.8984375" style="96" customWidth="1"/>
    <col min="26" max="27" width="10.09765625" style="96" customWidth="1"/>
    <col min="28" max="28" width="8.59765625" style="96" customWidth="1"/>
    <col min="29" max="29" width="8.19921875" style="96" customWidth="1"/>
    <col min="30" max="30" width="8.59765625" style="96" customWidth="1"/>
    <col min="31" max="31" width="9.19921875" style="96" customWidth="1"/>
    <col min="32" max="32" width="8.5" style="96" customWidth="1"/>
    <col min="33" max="34" width="9.3984375" style="96" customWidth="1"/>
    <col min="35" max="35" width="14.09765625" style="96" customWidth="1"/>
    <col min="36" max="36" width="9.59765625" style="96" customWidth="1"/>
    <col min="37" max="37" width="10.3984375" customWidth="1"/>
    <col min="38" max="38" width="10.69921875" customWidth="1"/>
  </cols>
  <sheetData>
    <row r="1" spans="1:50" x14ac:dyDescent="0.3">
      <c r="A1" s="553"/>
      <c r="B1" s="553"/>
      <c r="AJ1" s="293" t="s">
        <v>316</v>
      </c>
    </row>
    <row r="2" spans="1:50" x14ac:dyDescent="0.3">
      <c r="A2" s="553" t="s">
        <v>585</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row>
    <row r="3" spans="1:50" x14ac:dyDescent="0.3">
      <c r="A3" s="554" t="s">
        <v>600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row>
    <row r="4" spans="1:50" x14ac:dyDescent="0.3">
      <c r="AJ4" s="292" t="s">
        <v>149</v>
      </c>
      <c r="AL4" s="21"/>
    </row>
    <row r="5" spans="1:50" s="33" customFormat="1" ht="15.6" customHeight="1" x14ac:dyDescent="0.3">
      <c r="A5" s="555" t="s">
        <v>1</v>
      </c>
      <c r="B5" s="555" t="s">
        <v>242</v>
      </c>
      <c r="C5" s="557" t="s">
        <v>243</v>
      </c>
      <c r="D5" s="557"/>
      <c r="E5" s="557"/>
      <c r="F5" s="558" t="s">
        <v>244</v>
      </c>
      <c r="G5" s="560" t="s">
        <v>245</v>
      </c>
      <c r="H5" s="562" t="s">
        <v>246</v>
      </c>
      <c r="I5" s="560" t="s">
        <v>247</v>
      </c>
      <c r="J5" s="560" t="s">
        <v>248</v>
      </c>
      <c r="K5" s="560" t="s">
        <v>249</v>
      </c>
      <c r="L5" s="560" t="s">
        <v>250</v>
      </c>
      <c r="M5" s="560" t="s">
        <v>251</v>
      </c>
      <c r="N5" s="562" t="s">
        <v>252</v>
      </c>
      <c r="O5" s="560" t="s">
        <v>253</v>
      </c>
      <c r="P5" s="560" t="s">
        <v>531</v>
      </c>
      <c r="Q5" s="560" t="s">
        <v>532</v>
      </c>
      <c r="R5" s="560" t="s">
        <v>254</v>
      </c>
      <c r="S5" s="560" t="s">
        <v>255</v>
      </c>
      <c r="T5" s="558" t="s">
        <v>256</v>
      </c>
      <c r="U5" s="558" t="s">
        <v>257</v>
      </c>
      <c r="V5" s="558" t="s">
        <v>258</v>
      </c>
      <c r="W5" s="558" t="s">
        <v>360</v>
      </c>
      <c r="X5" s="558" t="s">
        <v>259</v>
      </c>
      <c r="Y5" s="558" t="s">
        <v>260</v>
      </c>
      <c r="Z5" s="558" t="s">
        <v>73</v>
      </c>
      <c r="AA5" s="558" t="s">
        <v>72</v>
      </c>
      <c r="AB5" s="558" t="s">
        <v>65</v>
      </c>
      <c r="AC5" s="558" t="s">
        <v>66</v>
      </c>
      <c r="AD5" s="558" t="s">
        <v>261</v>
      </c>
      <c r="AE5" s="558" t="s">
        <v>262</v>
      </c>
      <c r="AF5" s="558" t="s">
        <v>263</v>
      </c>
      <c r="AG5" s="558" t="s">
        <v>264</v>
      </c>
      <c r="AH5" s="558" t="s">
        <v>265</v>
      </c>
      <c r="AI5" s="558" t="s">
        <v>526</v>
      </c>
      <c r="AJ5" s="558" t="s">
        <v>91</v>
      </c>
      <c r="AK5" s="558" t="s">
        <v>7</v>
      </c>
      <c r="AL5" s="163"/>
    </row>
    <row r="6" spans="1:50" ht="90" customHeight="1" x14ac:dyDescent="0.3">
      <c r="A6" s="556"/>
      <c r="B6" s="556"/>
      <c r="C6" s="119" t="s">
        <v>266</v>
      </c>
      <c r="D6" s="119" t="s">
        <v>267</v>
      </c>
      <c r="E6" s="119" t="s">
        <v>268</v>
      </c>
      <c r="F6" s="559"/>
      <c r="G6" s="561"/>
      <c r="H6" s="561"/>
      <c r="I6" s="561"/>
      <c r="J6" s="564"/>
      <c r="K6" s="561"/>
      <c r="L6" s="561"/>
      <c r="M6" s="564"/>
      <c r="N6" s="561"/>
      <c r="O6" s="561"/>
      <c r="P6" s="564"/>
      <c r="Q6" s="564"/>
      <c r="R6" s="564"/>
      <c r="S6" s="561"/>
      <c r="T6" s="563"/>
      <c r="U6" s="559"/>
      <c r="V6" s="563"/>
      <c r="W6" s="563"/>
      <c r="X6" s="563"/>
      <c r="Y6" s="563"/>
      <c r="Z6" s="563"/>
      <c r="AA6" s="563"/>
      <c r="AB6" s="563"/>
      <c r="AC6" s="563"/>
      <c r="AD6" s="563"/>
      <c r="AE6" s="563"/>
      <c r="AF6" s="563"/>
      <c r="AG6" s="563"/>
      <c r="AH6" s="563"/>
      <c r="AI6" s="563"/>
      <c r="AJ6" s="563"/>
      <c r="AK6" s="563"/>
    </row>
    <row r="7" spans="1:50" x14ac:dyDescent="0.3">
      <c r="A7" s="165"/>
      <c r="B7" s="165" t="s">
        <v>269</v>
      </c>
      <c r="C7" s="155">
        <v>134</v>
      </c>
      <c r="D7" s="155">
        <v>6</v>
      </c>
      <c r="E7" s="155">
        <v>13</v>
      </c>
      <c r="F7" s="155">
        <v>138</v>
      </c>
      <c r="G7" s="155">
        <v>557.36000000000013</v>
      </c>
      <c r="H7" s="155">
        <v>21.049999999999997</v>
      </c>
      <c r="I7" s="155">
        <v>7.3008000000000006</v>
      </c>
      <c r="J7" s="155">
        <v>4.5186000000000002</v>
      </c>
      <c r="K7" s="155">
        <v>143.26769999999999</v>
      </c>
      <c r="L7" s="155">
        <v>64.057980000000001</v>
      </c>
      <c r="M7" s="155">
        <v>4.49</v>
      </c>
      <c r="N7" s="155">
        <v>4.2859999999999996</v>
      </c>
      <c r="O7" s="155">
        <v>9.6000000000000014</v>
      </c>
      <c r="P7" s="155"/>
      <c r="Q7" s="155"/>
      <c r="R7" s="155">
        <v>131.401465</v>
      </c>
      <c r="S7" s="155">
        <v>958.53754499999991</v>
      </c>
      <c r="T7" s="155">
        <v>20721.410971999998</v>
      </c>
      <c r="U7" s="155">
        <v>4863</v>
      </c>
      <c r="V7" s="155">
        <v>9335.7000000000007</v>
      </c>
      <c r="W7" s="155"/>
      <c r="X7" s="155">
        <v>41197.610972000002</v>
      </c>
      <c r="Y7" s="155">
        <v>404121.32155162602</v>
      </c>
      <c r="Z7" s="155">
        <v>39480.877452200002</v>
      </c>
      <c r="AA7" s="155">
        <v>53210</v>
      </c>
      <c r="AB7" s="155">
        <v>3278</v>
      </c>
      <c r="AC7" s="155">
        <v>1187.3374399999998</v>
      </c>
      <c r="AD7" s="155">
        <v>4050</v>
      </c>
      <c r="AE7" s="155">
        <v>2005</v>
      </c>
      <c r="AF7" s="155">
        <v>1289</v>
      </c>
      <c r="AG7" s="155">
        <v>13627</v>
      </c>
      <c r="AH7" s="155">
        <v>14500</v>
      </c>
      <c r="AI7" s="155">
        <v>3734</v>
      </c>
      <c r="AJ7" s="155">
        <v>6709</v>
      </c>
      <c r="AK7" s="155">
        <v>588389.14741582598</v>
      </c>
      <c r="AL7">
        <v>588389.1474158261</v>
      </c>
    </row>
    <row r="8" spans="1:50" s="56" customFormat="1" x14ac:dyDescent="0.3">
      <c r="A8" s="165" t="s">
        <v>51</v>
      </c>
      <c r="B8" s="166" t="s">
        <v>56</v>
      </c>
      <c r="C8" s="155">
        <v>134</v>
      </c>
      <c r="D8" s="155">
        <v>6</v>
      </c>
      <c r="E8" s="155">
        <v>13</v>
      </c>
      <c r="F8" s="155">
        <v>138</v>
      </c>
      <c r="G8" s="155">
        <v>557.36000000000013</v>
      </c>
      <c r="H8" s="155">
        <v>21.049999999999997</v>
      </c>
      <c r="I8" s="155">
        <v>7.3008000000000006</v>
      </c>
      <c r="J8" s="155">
        <v>4.5186000000000002</v>
      </c>
      <c r="K8" s="155">
        <v>143.26769999999999</v>
      </c>
      <c r="L8" s="155">
        <v>64.057980000000001</v>
      </c>
      <c r="M8" s="155">
        <v>4.49</v>
      </c>
      <c r="N8" s="155">
        <v>4.2859999999999996</v>
      </c>
      <c r="O8" s="155">
        <v>9.6000000000000014</v>
      </c>
      <c r="P8" s="155"/>
      <c r="Q8" s="155"/>
      <c r="R8" s="155">
        <v>131.401465</v>
      </c>
      <c r="S8" s="155">
        <v>958.53754499999991</v>
      </c>
      <c r="T8" s="155">
        <v>20721.410971999998</v>
      </c>
      <c r="U8" s="155">
        <v>4863</v>
      </c>
      <c r="V8" s="155">
        <v>9335.7000000000007</v>
      </c>
      <c r="W8" s="155"/>
      <c r="X8" s="155">
        <v>41197.610972000002</v>
      </c>
      <c r="Y8" s="155">
        <v>15542</v>
      </c>
      <c r="Z8" s="155">
        <v>21940</v>
      </c>
      <c r="AA8" s="155">
        <v>53210</v>
      </c>
      <c r="AB8" s="155">
        <v>0</v>
      </c>
      <c r="AC8" s="155">
        <v>0</v>
      </c>
      <c r="AD8" s="155">
        <v>0</v>
      </c>
      <c r="AE8" s="155">
        <v>0</v>
      </c>
      <c r="AF8" s="155">
        <v>0</v>
      </c>
      <c r="AG8" s="155">
        <v>13627</v>
      </c>
      <c r="AH8" s="155">
        <v>12000</v>
      </c>
      <c r="AI8" s="155">
        <v>0</v>
      </c>
      <c r="AJ8" s="155">
        <v>0</v>
      </c>
      <c r="AK8" s="155">
        <v>157516.61097200002</v>
      </c>
      <c r="AL8" s="92">
        <v>0</v>
      </c>
      <c r="AM8" s="92"/>
      <c r="AN8" s="92"/>
      <c r="AO8" s="92"/>
      <c r="AP8" s="92"/>
      <c r="AQ8" s="92"/>
      <c r="AR8" s="92"/>
      <c r="AS8" s="92"/>
      <c r="AT8" s="92"/>
      <c r="AU8" s="92"/>
      <c r="AV8" s="92"/>
      <c r="AW8" s="92"/>
      <c r="AX8" s="92"/>
    </row>
    <row r="9" spans="1:50" s="56" customFormat="1" x14ac:dyDescent="0.3">
      <c r="A9" s="165" t="s">
        <v>13</v>
      </c>
      <c r="B9" s="166" t="s">
        <v>270</v>
      </c>
      <c r="C9" s="155">
        <v>85</v>
      </c>
      <c r="D9" s="155">
        <v>6</v>
      </c>
      <c r="E9" s="155">
        <v>8</v>
      </c>
      <c r="F9" s="155">
        <v>89</v>
      </c>
      <c r="G9" s="155">
        <v>356.22</v>
      </c>
      <c r="H9" s="155">
        <v>11.399999999999999</v>
      </c>
      <c r="I9" s="155">
        <v>4.8841999999999999</v>
      </c>
      <c r="J9" s="155">
        <v>2.1186000000000003</v>
      </c>
      <c r="K9" s="155">
        <v>89.886049999999983</v>
      </c>
      <c r="L9" s="155">
        <v>0</v>
      </c>
      <c r="M9" s="155">
        <v>4.49</v>
      </c>
      <c r="N9" s="155">
        <v>1.07</v>
      </c>
      <c r="O9" s="155">
        <v>4.8</v>
      </c>
      <c r="P9" s="155"/>
      <c r="Q9" s="155"/>
      <c r="R9" s="155">
        <v>84.290130000000005</v>
      </c>
      <c r="S9" s="155">
        <v>564.51397999999995</v>
      </c>
      <c r="T9" s="155">
        <v>12210.501967999999</v>
      </c>
      <c r="U9" s="155">
        <v>2960</v>
      </c>
      <c r="V9" s="155">
        <v>8423.7000000000007</v>
      </c>
      <c r="W9" s="155"/>
      <c r="X9" s="155">
        <v>23546.201968000001</v>
      </c>
      <c r="Y9" s="155">
        <v>15542</v>
      </c>
      <c r="Z9" s="155">
        <v>21940</v>
      </c>
      <c r="AA9" s="155">
        <v>53210</v>
      </c>
      <c r="AB9" s="155">
        <v>0</v>
      </c>
      <c r="AC9" s="155">
        <v>0</v>
      </c>
      <c r="AD9" s="155">
        <v>0</v>
      </c>
      <c r="AE9" s="155">
        <v>0</v>
      </c>
      <c r="AF9" s="155">
        <v>0</v>
      </c>
      <c r="AG9" s="155">
        <v>13627</v>
      </c>
      <c r="AH9" s="155">
        <v>12000</v>
      </c>
      <c r="AI9" s="155">
        <v>0</v>
      </c>
      <c r="AJ9" s="155">
        <v>0</v>
      </c>
      <c r="AK9" s="155">
        <v>139865.20196800001</v>
      </c>
    </row>
    <row r="10" spans="1:50" s="457" customFormat="1" x14ac:dyDescent="0.3">
      <c r="A10" s="454">
        <v>1</v>
      </c>
      <c r="B10" s="455" t="s">
        <v>271</v>
      </c>
      <c r="C10" s="452"/>
      <c r="D10" s="452"/>
      <c r="E10" s="452"/>
      <c r="F10" s="452"/>
      <c r="G10" s="456"/>
      <c r="H10" s="456"/>
      <c r="I10" s="456"/>
      <c r="J10" s="456"/>
      <c r="K10" s="456"/>
      <c r="L10" s="456"/>
      <c r="M10" s="456"/>
      <c r="N10" s="456"/>
      <c r="O10" s="456"/>
      <c r="P10" s="456"/>
      <c r="Q10" s="456"/>
      <c r="R10" s="456"/>
      <c r="S10" s="456"/>
      <c r="T10" s="452"/>
      <c r="U10" s="452"/>
      <c r="V10" s="452"/>
      <c r="W10" s="452"/>
      <c r="X10" s="460">
        <v>8545.5837879999999</v>
      </c>
      <c r="Y10" s="460">
        <v>0</v>
      </c>
      <c r="Z10" s="460">
        <v>0</v>
      </c>
      <c r="AA10" s="460">
        <v>0</v>
      </c>
      <c r="AB10" s="460">
        <v>0</v>
      </c>
      <c r="AC10" s="460">
        <v>0</v>
      </c>
      <c r="AD10" s="460">
        <v>0</v>
      </c>
      <c r="AE10" s="460">
        <v>0</v>
      </c>
      <c r="AF10" s="460">
        <v>0</v>
      </c>
      <c r="AG10" s="460">
        <v>0</v>
      </c>
      <c r="AH10" s="460">
        <v>0</v>
      </c>
      <c r="AI10" s="460">
        <v>0</v>
      </c>
      <c r="AJ10" s="460">
        <v>0</v>
      </c>
      <c r="AK10" s="460">
        <v>8545.5837879999999</v>
      </c>
    </row>
    <row r="11" spans="1:50" x14ac:dyDescent="0.3">
      <c r="A11" s="118" t="s">
        <v>57</v>
      </c>
      <c r="B11" s="18" t="s">
        <v>272</v>
      </c>
      <c r="C11" s="119">
        <v>17</v>
      </c>
      <c r="D11" s="119">
        <v>2</v>
      </c>
      <c r="E11" s="119">
        <v>8</v>
      </c>
      <c r="F11" s="119">
        <v>25</v>
      </c>
      <c r="G11" s="120">
        <v>88.61</v>
      </c>
      <c r="H11" s="120">
        <v>3.9</v>
      </c>
      <c r="I11" s="120">
        <v>1.0458000000000001</v>
      </c>
      <c r="J11" s="120"/>
      <c r="K11" s="120">
        <v>20.898949999999999</v>
      </c>
      <c r="L11" s="120"/>
      <c r="M11" s="120"/>
      <c r="N11" s="120">
        <v>0.30000000000000004</v>
      </c>
      <c r="O11" s="120">
        <v>2</v>
      </c>
      <c r="P11" s="120"/>
      <c r="Q11" s="120"/>
      <c r="R11" s="120">
        <v>21.050055</v>
      </c>
      <c r="S11" s="120">
        <v>137.80480499999999</v>
      </c>
      <c r="T11" s="119">
        <v>2976.5837879999999</v>
      </c>
      <c r="U11" s="119">
        <v>725</v>
      </c>
      <c r="V11" s="119"/>
      <c r="W11" s="119"/>
      <c r="X11" s="93">
        <v>3701.5837879999999</v>
      </c>
      <c r="Y11" s="119"/>
      <c r="Z11" s="119"/>
      <c r="AA11" s="119"/>
      <c r="AB11" s="119"/>
      <c r="AC11" s="119"/>
      <c r="AD11" s="119"/>
      <c r="AE11" s="119"/>
      <c r="AF11" s="119"/>
      <c r="AG11" s="119"/>
      <c r="AH11" s="119"/>
      <c r="AI11" s="119"/>
      <c r="AJ11" s="119"/>
      <c r="AK11" s="145">
        <v>3701.5837879999999</v>
      </c>
    </row>
    <row r="12" spans="1:50" x14ac:dyDescent="0.3">
      <c r="A12" s="118" t="s">
        <v>59</v>
      </c>
      <c r="B12" s="18" t="s">
        <v>498</v>
      </c>
      <c r="C12" s="119"/>
      <c r="D12" s="119"/>
      <c r="E12" s="119"/>
      <c r="F12" s="119"/>
      <c r="G12" s="120"/>
      <c r="H12" s="120"/>
      <c r="I12" s="120"/>
      <c r="J12" s="120"/>
      <c r="K12" s="120"/>
      <c r="L12" s="120"/>
      <c r="M12" s="120"/>
      <c r="N12" s="120"/>
      <c r="O12" s="120"/>
      <c r="P12" s="120"/>
      <c r="Q12" s="120"/>
      <c r="R12" s="120"/>
      <c r="S12" s="120"/>
      <c r="T12" s="119"/>
      <c r="U12" s="119"/>
      <c r="V12" s="119"/>
      <c r="W12" s="119"/>
      <c r="X12" s="93">
        <v>3393</v>
      </c>
      <c r="Y12" s="93">
        <v>0</v>
      </c>
      <c r="Z12" s="93">
        <v>0</v>
      </c>
      <c r="AA12" s="93">
        <v>0</v>
      </c>
      <c r="AB12" s="93">
        <v>0</v>
      </c>
      <c r="AC12" s="93">
        <v>0</v>
      </c>
      <c r="AD12" s="93">
        <v>0</v>
      </c>
      <c r="AE12" s="93">
        <v>0</v>
      </c>
      <c r="AF12" s="93">
        <v>0</v>
      </c>
      <c r="AG12" s="93">
        <v>0</v>
      </c>
      <c r="AH12" s="93">
        <v>0</v>
      </c>
      <c r="AI12" s="93">
        <v>0</v>
      </c>
      <c r="AJ12" s="93">
        <v>0</v>
      </c>
      <c r="AK12" s="145">
        <v>3393</v>
      </c>
      <c r="AL12" s="21"/>
    </row>
    <row r="13" spans="1:50" ht="46.8" hidden="1" x14ac:dyDescent="0.3">
      <c r="A13" s="118"/>
      <c r="B13" s="167" t="s">
        <v>571</v>
      </c>
      <c r="C13" s="119"/>
      <c r="D13" s="119"/>
      <c r="E13" s="119"/>
      <c r="F13" s="119"/>
      <c r="G13" s="120"/>
      <c r="H13" s="120"/>
      <c r="I13" s="120"/>
      <c r="J13" s="120"/>
      <c r="K13" s="120"/>
      <c r="L13" s="120"/>
      <c r="M13" s="120"/>
      <c r="N13" s="120"/>
      <c r="O13" s="120"/>
      <c r="P13" s="120"/>
      <c r="Q13" s="120"/>
      <c r="R13" s="120"/>
      <c r="S13" s="120"/>
      <c r="T13" s="119"/>
      <c r="U13" s="119"/>
      <c r="V13" s="119">
        <v>360</v>
      </c>
      <c r="W13" s="119"/>
      <c r="X13" s="93">
        <v>360</v>
      </c>
      <c r="Y13" s="119"/>
      <c r="Z13" s="119"/>
      <c r="AA13" s="119"/>
      <c r="AB13" s="119"/>
      <c r="AC13" s="119"/>
      <c r="AD13" s="119"/>
      <c r="AE13" s="119"/>
      <c r="AF13" s="119"/>
      <c r="AG13" s="119"/>
      <c r="AH13" s="119"/>
      <c r="AI13" s="119"/>
      <c r="AJ13" s="119"/>
      <c r="AK13" s="145">
        <v>360</v>
      </c>
    </row>
    <row r="14" spans="1:50" ht="31.2" hidden="1" x14ac:dyDescent="0.3">
      <c r="A14" s="118"/>
      <c r="B14" s="167" t="s">
        <v>488</v>
      </c>
      <c r="C14" s="119"/>
      <c r="D14" s="119"/>
      <c r="E14" s="119"/>
      <c r="F14" s="119"/>
      <c r="G14" s="120"/>
      <c r="H14" s="120"/>
      <c r="I14" s="120"/>
      <c r="J14" s="120"/>
      <c r="K14" s="120"/>
      <c r="L14" s="120"/>
      <c r="M14" s="120"/>
      <c r="N14" s="120"/>
      <c r="O14" s="120"/>
      <c r="P14" s="120"/>
      <c r="Q14" s="120"/>
      <c r="R14" s="120"/>
      <c r="S14" s="120"/>
      <c r="T14" s="119"/>
      <c r="U14" s="119"/>
      <c r="V14" s="119">
        <v>100</v>
      </c>
      <c r="W14" s="119"/>
      <c r="X14" s="93">
        <v>100</v>
      </c>
      <c r="Y14" s="119"/>
      <c r="Z14" s="119"/>
      <c r="AA14" s="119"/>
      <c r="AB14" s="119"/>
      <c r="AC14" s="119"/>
      <c r="AD14" s="119"/>
      <c r="AE14" s="119"/>
      <c r="AF14" s="119"/>
      <c r="AG14" s="119"/>
      <c r="AH14" s="119"/>
      <c r="AI14" s="119"/>
      <c r="AJ14" s="119"/>
      <c r="AK14" s="145">
        <v>100</v>
      </c>
    </row>
    <row r="15" spans="1:50" hidden="1" x14ac:dyDescent="0.3">
      <c r="A15" s="118"/>
      <c r="B15" s="167" t="s">
        <v>489</v>
      </c>
      <c r="C15" s="119"/>
      <c r="D15" s="119"/>
      <c r="E15" s="119"/>
      <c r="F15" s="119"/>
      <c r="G15" s="120"/>
      <c r="H15" s="120"/>
      <c r="I15" s="120"/>
      <c r="J15" s="120"/>
      <c r="K15" s="120"/>
      <c r="L15" s="120"/>
      <c r="M15" s="120"/>
      <c r="N15" s="120"/>
      <c r="O15" s="120"/>
      <c r="P15" s="120"/>
      <c r="Q15" s="120"/>
      <c r="R15" s="120"/>
      <c r="S15" s="120"/>
      <c r="T15" s="119"/>
      <c r="U15" s="119"/>
      <c r="V15" s="119">
        <v>100</v>
      </c>
      <c r="W15" s="119"/>
      <c r="X15" s="93">
        <v>100</v>
      </c>
      <c r="Y15" s="119"/>
      <c r="Z15" s="119"/>
      <c r="AA15" s="119"/>
      <c r="AB15" s="119"/>
      <c r="AC15" s="119"/>
      <c r="AD15" s="119"/>
      <c r="AE15" s="119"/>
      <c r="AF15" s="119"/>
      <c r="AG15" s="119"/>
      <c r="AH15" s="119"/>
      <c r="AI15" s="119"/>
      <c r="AJ15" s="119"/>
      <c r="AK15" s="145">
        <v>100</v>
      </c>
    </row>
    <row r="16" spans="1:50" hidden="1" x14ac:dyDescent="0.3">
      <c r="A16" s="118"/>
      <c r="B16" s="167" t="s">
        <v>490</v>
      </c>
      <c r="C16" s="119"/>
      <c r="D16" s="119"/>
      <c r="E16" s="119"/>
      <c r="F16" s="119"/>
      <c r="G16" s="120"/>
      <c r="H16" s="120"/>
      <c r="I16" s="120"/>
      <c r="J16" s="120"/>
      <c r="K16" s="120"/>
      <c r="L16" s="120"/>
      <c r="M16" s="120"/>
      <c r="N16" s="120"/>
      <c r="O16" s="120"/>
      <c r="P16" s="120"/>
      <c r="Q16" s="120"/>
      <c r="R16" s="120"/>
      <c r="S16" s="120"/>
      <c r="T16" s="119"/>
      <c r="U16" s="119"/>
      <c r="V16" s="119">
        <v>360</v>
      </c>
      <c r="W16" s="119"/>
      <c r="X16" s="93">
        <v>360</v>
      </c>
      <c r="Y16" s="119"/>
      <c r="Z16" s="119"/>
      <c r="AA16" s="119"/>
      <c r="AB16" s="119"/>
      <c r="AC16" s="119"/>
      <c r="AD16" s="119"/>
      <c r="AE16" s="119"/>
      <c r="AF16" s="119"/>
      <c r="AG16" s="119"/>
      <c r="AH16" s="119"/>
      <c r="AI16" s="119"/>
      <c r="AJ16" s="119"/>
      <c r="AK16" s="145">
        <v>360</v>
      </c>
    </row>
    <row r="17" spans="1:37" hidden="1" x14ac:dyDescent="0.3">
      <c r="A17" s="118"/>
      <c r="B17" s="167" t="s">
        <v>491</v>
      </c>
      <c r="C17" s="119"/>
      <c r="D17" s="119"/>
      <c r="E17" s="119"/>
      <c r="F17" s="119"/>
      <c r="G17" s="120"/>
      <c r="H17" s="120"/>
      <c r="I17" s="120"/>
      <c r="J17" s="120"/>
      <c r="K17" s="120"/>
      <c r="L17" s="120"/>
      <c r="M17" s="120"/>
      <c r="N17" s="120"/>
      <c r="O17" s="120"/>
      <c r="P17" s="120"/>
      <c r="Q17" s="120"/>
      <c r="R17" s="120"/>
      <c r="S17" s="120"/>
      <c r="T17" s="119"/>
      <c r="U17" s="119"/>
      <c r="V17" s="119">
        <v>120</v>
      </c>
      <c r="W17" s="119"/>
      <c r="X17" s="93">
        <v>120</v>
      </c>
      <c r="Y17" s="119"/>
      <c r="Z17" s="119"/>
      <c r="AA17" s="119"/>
      <c r="AB17" s="119"/>
      <c r="AC17" s="119"/>
      <c r="AD17" s="119"/>
      <c r="AE17" s="119"/>
      <c r="AF17" s="119"/>
      <c r="AG17" s="119"/>
      <c r="AH17" s="119"/>
      <c r="AI17" s="119"/>
      <c r="AJ17" s="119"/>
      <c r="AK17" s="145">
        <v>120</v>
      </c>
    </row>
    <row r="18" spans="1:37" hidden="1" x14ac:dyDescent="0.3">
      <c r="A18" s="118"/>
      <c r="B18" s="18" t="s">
        <v>492</v>
      </c>
      <c r="C18" s="119"/>
      <c r="D18" s="119"/>
      <c r="E18" s="119"/>
      <c r="F18" s="119"/>
      <c r="G18" s="120"/>
      <c r="H18" s="120"/>
      <c r="I18" s="120"/>
      <c r="J18" s="120"/>
      <c r="K18" s="120"/>
      <c r="L18" s="120"/>
      <c r="M18" s="120"/>
      <c r="N18" s="120"/>
      <c r="O18" s="120"/>
      <c r="P18" s="120"/>
      <c r="Q18" s="120"/>
      <c r="R18" s="120"/>
      <c r="S18" s="120"/>
      <c r="T18" s="119"/>
      <c r="U18" s="119"/>
      <c r="V18" s="119">
        <v>200</v>
      </c>
      <c r="W18" s="119"/>
      <c r="X18" s="93">
        <v>200</v>
      </c>
      <c r="Y18" s="119"/>
      <c r="Z18" s="119"/>
      <c r="AA18" s="119"/>
      <c r="AB18" s="119"/>
      <c r="AC18" s="119"/>
      <c r="AD18" s="119"/>
      <c r="AE18" s="119"/>
      <c r="AF18" s="119"/>
      <c r="AG18" s="119"/>
      <c r="AH18" s="119"/>
      <c r="AI18" s="119"/>
      <c r="AJ18" s="119"/>
      <c r="AK18" s="145">
        <v>200</v>
      </c>
    </row>
    <row r="19" spans="1:37" hidden="1" x14ac:dyDescent="0.3">
      <c r="A19" s="118"/>
      <c r="B19" s="18" t="s">
        <v>493</v>
      </c>
      <c r="C19" s="119"/>
      <c r="D19" s="119"/>
      <c r="E19" s="119"/>
      <c r="F19" s="119"/>
      <c r="G19" s="120"/>
      <c r="H19" s="120"/>
      <c r="I19" s="120"/>
      <c r="J19" s="120"/>
      <c r="K19" s="120"/>
      <c r="L19" s="120"/>
      <c r="M19" s="120"/>
      <c r="N19" s="120"/>
      <c r="O19" s="120"/>
      <c r="P19" s="120"/>
      <c r="Q19" s="120"/>
      <c r="R19" s="120"/>
      <c r="S19" s="120"/>
      <c r="T19" s="119"/>
      <c r="U19" s="119"/>
      <c r="V19" s="119">
        <v>121</v>
      </c>
      <c r="W19" s="119"/>
      <c r="X19" s="93">
        <v>121</v>
      </c>
      <c r="Y19" s="119"/>
      <c r="Z19" s="119"/>
      <c r="AA19" s="119"/>
      <c r="AB19" s="119"/>
      <c r="AC19" s="119"/>
      <c r="AD19" s="119"/>
      <c r="AE19" s="119"/>
      <c r="AF19" s="119"/>
      <c r="AG19" s="119"/>
      <c r="AH19" s="119"/>
      <c r="AI19" s="119"/>
      <c r="AJ19" s="119"/>
      <c r="AK19" s="145">
        <v>121</v>
      </c>
    </row>
    <row r="20" spans="1:37" ht="31.2" hidden="1" x14ac:dyDescent="0.3">
      <c r="A20" s="118"/>
      <c r="B20" s="167" t="s">
        <v>494</v>
      </c>
      <c r="C20" s="119"/>
      <c r="D20" s="119"/>
      <c r="E20" s="119"/>
      <c r="F20" s="119"/>
      <c r="G20" s="120"/>
      <c r="H20" s="120"/>
      <c r="I20" s="120"/>
      <c r="J20" s="120"/>
      <c r="K20" s="120"/>
      <c r="L20" s="120"/>
      <c r="M20" s="120"/>
      <c r="N20" s="120"/>
      <c r="O20" s="120"/>
      <c r="P20" s="120"/>
      <c r="Q20" s="120"/>
      <c r="R20" s="120"/>
      <c r="S20" s="120"/>
      <c r="T20" s="119"/>
      <c r="U20" s="119"/>
      <c r="V20" s="119">
        <v>300</v>
      </c>
      <c r="W20" s="119"/>
      <c r="X20" s="93">
        <v>300</v>
      </c>
      <c r="Y20" s="119"/>
      <c r="Z20" s="119"/>
      <c r="AA20" s="119"/>
      <c r="AB20" s="119"/>
      <c r="AC20" s="119"/>
      <c r="AD20" s="119"/>
      <c r="AE20" s="119"/>
      <c r="AF20" s="119"/>
      <c r="AG20" s="119"/>
      <c r="AH20" s="119"/>
      <c r="AI20" s="119"/>
      <c r="AJ20" s="119"/>
      <c r="AK20" s="145">
        <v>300</v>
      </c>
    </row>
    <row r="21" spans="1:37" hidden="1" x14ac:dyDescent="0.3">
      <c r="A21" s="118"/>
      <c r="B21" s="18" t="s">
        <v>495</v>
      </c>
      <c r="C21" s="119"/>
      <c r="D21" s="119"/>
      <c r="E21" s="119"/>
      <c r="F21" s="119"/>
      <c r="G21" s="120"/>
      <c r="H21" s="120"/>
      <c r="I21" s="120"/>
      <c r="J21" s="120"/>
      <c r="K21" s="120"/>
      <c r="L21" s="120"/>
      <c r="M21" s="120"/>
      <c r="N21" s="120"/>
      <c r="O21" s="120"/>
      <c r="P21" s="120"/>
      <c r="Q21" s="120"/>
      <c r="R21" s="120"/>
      <c r="S21" s="120"/>
      <c r="T21" s="119"/>
      <c r="U21" s="119"/>
      <c r="V21" s="119">
        <v>288</v>
      </c>
      <c r="W21" s="119"/>
      <c r="X21" s="93">
        <v>288</v>
      </c>
      <c r="Y21" s="119"/>
      <c r="Z21" s="119"/>
      <c r="AA21" s="119"/>
      <c r="AB21" s="119"/>
      <c r="AC21" s="119"/>
      <c r="AD21" s="119"/>
      <c r="AE21" s="119"/>
      <c r="AF21" s="119"/>
      <c r="AG21" s="119"/>
      <c r="AH21" s="119"/>
      <c r="AI21" s="119"/>
      <c r="AJ21" s="119"/>
      <c r="AK21" s="145">
        <v>288</v>
      </c>
    </row>
    <row r="22" spans="1:37" hidden="1" x14ac:dyDescent="0.3">
      <c r="A22" s="118"/>
      <c r="B22" s="18" t="s">
        <v>496</v>
      </c>
      <c r="C22" s="119"/>
      <c r="D22" s="119"/>
      <c r="E22" s="119"/>
      <c r="F22" s="119"/>
      <c r="G22" s="120"/>
      <c r="H22" s="120"/>
      <c r="I22" s="120"/>
      <c r="J22" s="120"/>
      <c r="K22" s="120"/>
      <c r="L22" s="120"/>
      <c r="M22" s="120"/>
      <c r="N22" s="120"/>
      <c r="O22" s="120"/>
      <c r="P22" s="120"/>
      <c r="Q22" s="120"/>
      <c r="R22" s="120"/>
      <c r="S22" s="120"/>
      <c r="T22" s="119"/>
      <c r="U22" s="119"/>
      <c r="V22" s="119">
        <v>444</v>
      </c>
      <c r="W22" s="119"/>
      <c r="X22" s="93">
        <v>444</v>
      </c>
      <c r="Y22" s="119"/>
      <c r="Z22" s="119"/>
      <c r="AA22" s="119"/>
      <c r="AB22" s="119"/>
      <c r="AC22" s="119"/>
      <c r="AD22" s="119"/>
      <c r="AE22" s="119"/>
      <c r="AF22" s="119"/>
      <c r="AG22" s="119"/>
      <c r="AH22" s="119"/>
      <c r="AI22" s="119"/>
      <c r="AJ22" s="119"/>
      <c r="AK22" s="145">
        <v>444</v>
      </c>
    </row>
    <row r="23" spans="1:37" ht="51" hidden="1" customHeight="1" x14ac:dyDescent="0.3">
      <c r="A23" s="118"/>
      <c r="B23" s="167" t="s">
        <v>512</v>
      </c>
      <c r="C23" s="119"/>
      <c r="D23" s="119"/>
      <c r="E23" s="119"/>
      <c r="F23" s="119"/>
      <c r="G23" s="120"/>
      <c r="H23" s="120"/>
      <c r="I23" s="120"/>
      <c r="J23" s="120"/>
      <c r="K23" s="120"/>
      <c r="L23" s="120"/>
      <c r="M23" s="120"/>
      <c r="N23" s="120"/>
      <c r="O23" s="120"/>
      <c r="P23" s="120"/>
      <c r="Q23" s="120"/>
      <c r="R23" s="120"/>
      <c r="S23" s="120"/>
      <c r="T23" s="119"/>
      <c r="U23" s="119"/>
      <c r="V23" s="119">
        <v>1000</v>
      </c>
      <c r="W23" s="119"/>
      <c r="X23" s="93">
        <v>1000</v>
      </c>
      <c r="Y23" s="119"/>
      <c r="Z23" s="119"/>
      <c r="AA23" s="119"/>
      <c r="AB23" s="119"/>
      <c r="AC23" s="119"/>
      <c r="AD23" s="119"/>
      <c r="AE23" s="119"/>
      <c r="AF23" s="119"/>
      <c r="AG23" s="119"/>
      <c r="AH23" s="119"/>
      <c r="AI23" s="119"/>
      <c r="AJ23" s="119"/>
      <c r="AK23" s="145">
        <v>1000</v>
      </c>
    </row>
    <row r="24" spans="1:37" x14ac:dyDescent="0.3">
      <c r="A24" s="118" t="s">
        <v>59</v>
      </c>
      <c r="B24" s="18" t="s">
        <v>497</v>
      </c>
      <c r="C24" s="119"/>
      <c r="D24" s="119"/>
      <c r="E24" s="119"/>
      <c r="F24" s="119"/>
      <c r="G24" s="120"/>
      <c r="H24" s="120"/>
      <c r="I24" s="120"/>
      <c r="J24" s="120"/>
      <c r="K24" s="120">
        <v>0</v>
      </c>
      <c r="L24" s="120"/>
      <c r="M24" s="120"/>
      <c r="N24" s="120"/>
      <c r="O24" s="120"/>
      <c r="P24" s="120"/>
      <c r="Q24" s="120"/>
      <c r="R24" s="120">
        <v>0</v>
      </c>
      <c r="S24" s="120">
        <v>0</v>
      </c>
      <c r="T24" s="119">
        <v>0</v>
      </c>
      <c r="U24" s="119">
        <v>0</v>
      </c>
      <c r="V24" s="119"/>
      <c r="W24" s="119"/>
      <c r="X24" s="93">
        <v>1451</v>
      </c>
      <c r="Y24" s="119"/>
      <c r="Z24" s="119"/>
      <c r="AA24" s="119"/>
      <c r="AB24" s="119"/>
      <c r="AC24" s="119"/>
      <c r="AD24" s="119"/>
      <c r="AE24" s="119"/>
      <c r="AF24" s="119"/>
      <c r="AG24" s="119"/>
      <c r="AH24" s="119"/>
      <c r="AI24" s="119"/>
      <c r="AJ24" s="119"/>
      <c r="AK24" s="145">
        <v>1451</v>
      </c>
    </row>
    <row r="25" spans="1:37" hidden="1" x14ac:dyDescent="0.3">
      <c r="A25" s="118"/>
      <c r="B25" s="18" t="s">
        <v>499</v>
      </c>
      <c r="C25" s="119"/>
      <c r="D25" s="119"/>
      <c r="E25" s="119"/>
      <c r="F25" s="119"/>
      <c r="G25" s="120"/>
      <c r="H25" s="120"/>
      <c r="I25" s="120"/>
      <c r="J25" s="120"/>
      <c r="K25" s="120"/>
      <c r="L25" s="120"/>
      <c r="M25" s="120"/>
      <c r="N25" s="120"/>
      <c r="O25" s="120"/>
      <c r="P25" s="120"/>
      <c r="Q25" s="120"/>
      <c r="R25" s="120"/>
      <c r="S25" s="120"/>
      <c r="T25" s="119"/>
      <c r="U25" s="119"/>
      <c r="V25" s="119">
        <v>294</v>
      </c>
      <c r="W25" s="119"/>
      <c r="X25" s="93">
        <v>294</v>
      </c>
      <c r="Y25" s="119"/>
      <c r="Z25" s="119"/>
      <c r="AA25" s="119"/>
      <c r="AB25" s="119"/>
      <c r="AC25" s="119"/>
      <c r="AD25" s="119"/>
      <c r="AE25" s="119"/>
      <c r="AF25" s="119"/>
      <c r="AG25" s="119"/>
      <c r="AH25" s="119"/>
      <c r="AI25" s="119"/>
      <c r="AJ25" s="119"/>
      <c r="AK25" s="145">
        <v>294</v>
      </c>
    </row>
    <row r="26" spans="1:37" ht="31.2" hidden="1" x14ac:dyDescent="0.3">
      <c r="A26" s="118"/>
      <c r="B26" s="167" t="s">
        <v>500</v>
      </c>
      <c r="C26" s="119"/>
      <c r="D26" s="119"/>
      <c r="E26" s="119"/>
      <c r="F26" s="119"/>
      <c r="G26" s="120"/>
      <c r="H26" s="120"/>
      <c r="I26" s="120"/>
      <c r="J26" s="120"/>
      <c r="K26" s="120"/>
      <c r="L26" s="120"/>
      <c r="M26" s="120"/>
      <c r="N26" s="120"/>
      <c r="O26" s="120"/>
      <c r="P26" s="120"/>
      <c r="Q26" s="120"/>
      <c r="R26" s="120"/>
      <c r="S26" s="120"/>
      <c r="T26" s="119"/>
      <c r="U26" s="119"/>
      <c r="V26" s="119">
        <v>151</v>
      </c>
      <c r="W26" s="119"/>
      <c r="X26" s="93">
        <v>151</v>
      </c>
      <c r="Y26" s="119"/>
      <c r="Z26" s="119"/>
      <c r="AA26" s="119"/>
      <c r="AB26" s="119"/>
      <c r="AC26" s="119"/>
      <c r="AD26" s="119"/>
      <c r="AE26" s="119"/>
      <c r="AF26" s="119"/>
      <c r="AG26" s="119"/>
      <c r="AH26" s="119"/>
      <c r="AI26" s="119"/>
      <c r="AJ26" s="119"/>
      <c r="AK26" s="145">
        <v>151</v>
      </c>
    </row>
    <row r="27" spans="1:37" ht="31.2" hidden="1" x14ac:dyDescent="0.3">
      <c r="A27" s="118"/>
      <c r="B27" s="167" t="s">
        <v>502</v>
      </c>
      <c r="C27" s="119"/>
      <c r="D27" s="119"/>
      <c r="E27" s="119"/>
      <c r="F27" s="119"/>
      <c r="G27" s="120"/>
      <c r="H27" s="120"/>
      <c r="I27" s="120"/>
      <c r="J27" s="120"/>
      <c r="K27" s="120"/>
      <c r="L27" s="120"/>
      <c r="M27" s="120"/>
      <c r="N27" s="120"/>
      <c r="O27" s="120"/>
      <c r="P27" s="120"/>
      <c r="Q27" s="120"/>
      <c r="R27" s="120"/>
      <c r="S27" s="120"/>
      <c r="T27" s="119"/>
      <c r="U27" s="119"/>
      <c r="V27" s="119">
        <v>119</v>
      </c>
      <c r="W27" s="119"/>
      <c r="X27" s="93">
        <v>119</v>
      </c>
      <c r="Y27" s="119"/>
      <c r="Z27" s="119"/>
      <c r="AA27" s="119"/>
      <c r="AB27" s="119"/>
      <c r="AC27" s="119"/>
      <c r="AD27" s="119"/>
      <c r="AE27" s="119"/>
      <c r="AF27" s="119"/>
      <c r="AG27" s="119"/>
      <c r="AH27" s="119"/>
      <c r="AI27" s="119"/>
      <c r="AJ27" s="119"/>
      <c r="AK27" s="145">
        <v>119</v>
      </c>
    </row>
    <row r="28" spans="1:37" ht="46.8" hidden="1" x14ac:dyDescent="0.3">
      <c r="A28" s="118"/>
      <c r="B28" s="167" t="s">
        <v>501</v>
      </c>
      <c r="C28" s="119"/>
      <c r="D28" s="119"/>
      <c r="E28" s="119"/>
      <c r="F28" s="119"/>
      <c r="G28" s="120"/>
      <c r="H28" s="120"/>
      <c r="I28" s="120"/>
      <c r="J28" s="120"/>
      <c r="K28" s="120"/>
      <c r="L28" s="120"/>
      <c r="M28" s="120"/>
      <c r="N28" s="120"/>
      <c r="O28" s="120"/>
      <c r="P28" s="120"/>
      <c r="Q28" s="120"/>
      <c r="R28" s="120"/>
      <c r="S28" s="120"/>
      <c r="T28" s="119"/>
      <c r="U28" s="119"/>
      <c r="V28" s="119">
        <v>212</v>
      </c>
      <c r="W28" s="119"/>
      <c r="X28" s="93">
        <v>212</v>
      </c>
      <c r="Y28" s="119"/>
      <c r="Z28" s="119"/>
      <c r="AA28" s="119"/>
      <c r="AB28" s="119"/>
      <c r="AC28" s="119"/>
      <c r="AD28" s="119"/>
      <c r="AE28" s="119"/>
      <c r="AF28" s="119"/>
      <c r="AG28" s="119"/>
      <c r="AH28" s="119"/>
      <c r="AI28" s="119"/>
      <c r="AJ28" s="119"/>
      <c r="AK28" s="145">
        <v>212</v>
      </c>
    </row>
    <row r="29" spans="1:37" hidden="1" x14ac:dyDescent="0.3">
      <c r="A29" s="118"/>
      <c r="B29" s="167" t="s">
        <v>503</v>
      </c>
      <c r="C29" s="119"/>
      <c r="D29" s="119"/>
      <c r="E29" s="119"/>
      <c r="F29" s="119"/>
      <c r="G29" s="120"/>
      <c r="H29" s="120"/>
      <c r="I29" s="120"/>
      <c r="J29" s="120"/>
      <c r="K29" s="120"/>
      <c r="L29" s="120"/>
      <c r="M29" s="120"/>
      <c r="N29" s="120"/>
      <c r="O29" s="120"/>
      <c r="P29" s="120"/>
      <c r="Q29" s="120"/>
      <c r="R29" s="120"/>
      <c r="S29" s="120"/>
      <c r="T29" s="119"/>
      <c r="U29" s="119"/>
      <c r="V29" s="119">
        <v>393</v>
      </c>
      <c r="W29" s="119"/>
      <c r="X29" s="93">
        <v>393</v>
      </c>
      <c r="Y29" s="119"/>
      <c r="Z29" s="119"/>
      <c r="AA29" s="119"/>
      <c r="AB29" s="119"/>
      <c r="AC29" s="119"/>
      <c r="AD29" s="119"/>
      <c r="AE29" s="119"/>
      <c r="AF29" s="119"/>
      <c r="AG29" s="119"/>
      <c r="AH29" s="119"/>
      <c r="AI29" s="119"/>
      <c r="AJ29" s="119"/>
      <c r="AK29" s="145">
        <v>393</v>
      </c>
    </row>
    <row r="30" spans="1:37" ht="31.2" hidden="1" x14ac:dyDescent="0.3">
      <c r="A30" s="118"/>
      <c r="B30" s="167" t="s">
        <v>550</v>
      </c>
      <c r="C30" s="119"/>
      <c r="D30" s="119"/>
      <c r="E30" s="119"/>
      <c r="F30" s="119"/>
      <c r="G30" s="120"/>
      <c r="H30" s="120"/>
      <c r="I30" s="120"/>
      <c r="J30" s="120"/>
      <c r="K30" s="120"/>
      <c r="L30" s="120"/>
      <c r="M30" s="120"/>
      <c r="N30" s="120"/>
      <c r="O30" s="120"/>
      <c r="P30" s="120"/>
      <c r="Q30" s="120"/>
      <c r="R30" s="120"/>
      <c r="S30" s="120"/>
      <c r="T30" s="119"/>
      <c r="U30" s="119"/>
      <c r="V30" s="119">
        <v>45</v>
      </c>
      <c r="W30" s="119"/>
      <c r="X30" s="93">
        <v>45</v>
      </c>
      <c r="Y30" s="119"/>
      <c r="Z30" s="119"/>
      <c r="AA30" s="119"/>
      <c r="AB30" s="119"/>
      <c r="AC30" s="119"/>
      <c r="AD30" s="119"/>
      <c r="AE30" s="119"/>
      <c r="AF30" s="119"/>
      <c r="AG30" s="119"/>
      <c r="AH30" s="119"/>
      <c r="AI30" s="119"/>
      <c r="AJ30" s="119"/>
      <c r="AK30" s="145">
        <v>45</v>
      </c>
    </row>
    <row r="31" spans="1:37" ht="31.2" hidden="1" x14ac:dyDescent="0.3">
      <c r="A31" s="118"/>
      <c r="B31" s="167" t="s">
        <v>504</v>
      </c>
      <c r="C31" s="119"/>
      <c r="D31" s="119"/>
      <c r="E31" s="119"/>
      <c r="F31" s="119"/>
      <c r="G31" s="120"/>
      <c r="H31" s="120"/>
      <c r="I31" s="120"/>
      <c r="J31" s="120"/>
      <c r="K31" s="120"/>
      <c r="L31" s="120"/>
      <c r="M31" s="120"/>
      <c r="N31" s="120"/>
      <c r="O31" s="120"/>
      <c r="P31" s="120"/>
      <c r="Q31" s="120"/>
      <c r="R31" s="120"/>
      <c r="S31" s="120"/>
      <c r="T31" s="119"/>
      <c r="U31" s="119"/>
      <c r="V31" s="119">
        <v>8</v>
      </c>
      <c r="W31" s="119"/>
      <c r="X31" s="93">
        <v>8</v>
      </c>
      <c r="Y31" s="119"/>
      <c r="Z31" s="119"/>
      <c r="AA31" s="119"/>
      <c r="AB31" s="119"/>
      <c r="AC31" s="119"/>
      <c r="AD31" s="119"/>
      <c r="AE31" s="119"/>
      <c r="AF31" s="119"/>
      <c r="AG31" s="119"/>
      <c r="AH31" s="119"/>
      <c r="AI31" s="119"/>
      <c r="AJ31" s="119"/>
      <c r="AK31" s="145">
        <v>8</v>
      </c>
    </row>
    <row r="32" spans="1:37" ht="31.2" hidden="1" x14ac:dyDescent="0.3">
      <c r="A32" s="118"/>
      <c r="B32" s="167" t="s">
        <v>505</v>
      </c>
      <c r="C32" s="119"/>
      <c r="D32" s="119"/>
      <c r="E32" s="119"/>
      <c r="F32" s="119"/>
      <c r="G32" s="120"/>
      <c r="H32" s="120"/>
      <c r="I32" s="120"/>
      <c r="J32" s="120"/>
      <c r="K32" s="120"/>
      <c r="L32" s="120"/>
      <c r="M32" s="120"/>
      <c r="N32" s="120"/>
      <c r="O32" s="120"/>
      <c r="P32" s="120"/>
      <c r="Q32" s="120"/>
      <c r="R32" s="120"/>
      <c r="S32" s="120"/>
      <c r="T32" s="119"/>
      <c r="U32" s="119"/>
      <c r="V32" s="119">
        <v>29</v>
      </c>
      <c r="W32" s="119"/>
      <c r="X32" s="93">
        <v>29</v>
      </c>
      <c r="Y32" s="119"/>
      <c r="Z32" s="119"/>
      <c r="AA32" s="119"/>
      <c r="AB32" s="119"/>
      <c r="AC32" s="119"/>
      <c r="AD32" s="119"/>
      <c r="AE32" s="119"/>
      <c r="AF32" s="119"/>
      <c r="AG32" s="119"/>
      <c r="AH32" s="119"/>
      <c r="AI32" s="119"/>
      <c r="AJ32" s="119"/>
      <c r="AK32" s="145">
        <v>29</v>
      </c>
    </row>
    <row r="33" spans="1:37" hidden="1" x14ac:dyDescent="0.3">
      <c r="A33" s="118"/>
      <c r="B33" s="167" t="s">
        <v>506</v>
      </c>
      <c r="C33" s="119"/>
      <c r="D33" s="119"/>
      <c r="E33" s="119"/>
      <c r="F33" s="119"/>
      <c r="G33" s="120"/>
      <c r="H33" s="120"/>
      <c r="I33" s="120"/>
      <c r="J33" s="120"/>
      <c r="K33" s="120"/>
      <c r="L33" s="120"/>
      <c r="M33" s="120"/>
      <c r="N33" s="120"/>
      <c r="O33" s="120"/>
      <c r="P33" s="120"/>
      <c r="Q33" s="120"/>
      <c r="R33" s="120"/>
      <c r="S33" s="120"/>
      <c r="T33" s="119"/>
      <c r="U33" s="119"/>
      <c r="V33" s="119">
        <v>85</v>
      </c>
      <c r="W33" s="119"/>
      <c r="X33" s="93">
        <v>85</v>
      </c>
      <c r="Y33" s="119"/>
      <c r="Z33" s="119"/>
      <c r="AA33" s="119"/>
      <c r="AB33" s="119"/>
      <c r="AC33" s="119"/>
      <c r="AD33" s="119"/>
      <c r="AE33" s="119"/>
      <c r="AF33" s="119"/>
      <c r="AG33" s="119"/>
      <c r="AH33" s="119"/>
      <c r="AI33" s="119"/>
      <c r="AJ33" s="119"/>
      <c r="AK33" s="145">
        <v>85</v>
      </c>
    </row>
    <row r="34" spans="1:37" ht="31.2" hidden="1" x14ac:dyDescent="0.3">
      <c r="A34" s="118"/>
      <c r="B34" s="167" t="s">
        <v>579</v>
      </c>
      <c r="C34" s="119"/>
      <c r="D34" s="119"/>
      <c r="E34" s="119"/>
      <c r="F34" s="119"/>
      <c r="G34" s="120"/>
      <c r="H34" s="120"/>
      <c r="I34" s="120"/>
      <c r="J34" s="120"/>
      <c r="K34" s="120"/>
      <c r="L34" s="120"/>
      <c r="M34" s="120"/>
      <c r="N34" s="120"/>
      <c r="O34" s="120"/>
      <c r="P34" s="120"/>
      <c r="Q34" s="120"/>
      <c r="R34" s="120"/>
      <c r="S34" s="120"/>
      <c r="T34" s="119"/>
      <c r="U34" s="119"/>
      <c r="V34" s="119">
        <v>15</v>
      </c>
      <c r="W34" s="119"/>
      <c r="X34" s="93">
        <v>15</v>
      </c>
      <c r="Y34" s="119"/>
      <c r="Z34" s="119"/>
      <c r="AA34" s="119"/>
      <c r="AB34" s="119"/>
      <c r="AC34" s="119"/>
      <c r="AD34" s="119"/>
      <c r="AE34" s="119"/>
      <c r="AF34" s="119"/>
      <c r="AG34" s="119"/>
      <c r="AH34" s="119"/>
      <c r="AI34" s="119"/>
      <c r="AJ34" s="119"/>
      <c r="AK34" s="145">
        <v>15</v>
      </c>
    </row>
    <row r="35" spans="1:37" ht="31.2" hidden="1" x14ac:dyDescent="0.3">
      <c r="A35" s="118"/>
      <c r="B35" s="167" t="s">
        <v>507</v>
      </c>
      <c r="C35" s="119"/>
      <c r="D35" s="119"/>
      <c r="E35" s="119"/>
      <c r="F35" s="119"/>
      <c r="G35" s="120"/>
      <c r="H35" s="120"/>
      <c r="I35" s="120"/>
      <c r="J35" s="120"/>
      <c r="K35" s="120"/>
      <c r="L35" s="120"/>
      <c r="M35" s="120"/>
      <c r="N35" s="120"/>
      <c r="O35" s="120"/>
      <c r="P35" s="120"/>
      <c r="Q35" s="120"/>
      <c r="R35" s="120"/>
      <c r="S35" s="120"/>
      <c r="T35" s="119"/>
      <c r="U35" s="119"/>
      <c r="V35" s="119">
        <v>100</v>
      </c>
      <c r="W35" s="119"/>
      <c r="X35" s="93">
        <v>100</v>
      </c>
      <c r="Y35" s="119"/>
      <c r="Z35" s="119"/>
      <c r="AA35" s="119"/>
      <c r="AB35" s="119"/>
      <c r="AC35" s="119"/>
      <c r="AD35" s="119"/>
      <c r="AE35" s="119"/>
      <c r="AF35" s="119"/>
      <c r="AG35" s="119"/>
      <c r="AH35" s="119"/>
      <c r="AI35" s="119"/>
      <c r="AJ35" s="119"/>
      <c r="AK35" s="145">
        <v>100</v>
      </c>
    </row>
    <row r="36" spans="1:37" s="457" customFormat="1" x14ac:dyDescent="0.3">
      <c r="A36" s="454">
        <v>2</v>
      </c>
      <c r="B36" s="453" t="s">
        <v>273</v>
      </c>
      <c r="C36" s="452"/>
      <c r="D36" s="452"/>
      <c r="E36" s="452"/>
      <c r="F36" s="452"/>
      <c r="G36" s="456"/>
      <c r="H36" s="456"/>
      <c r="I36" s="456"/>
      <c r="J36" s="456"/>
      <c r="K36" s="456"/>
      <c r="L36" s="456"/>
      <c r="M36" s="456"/>
      <c r="N36" s="456"/>
      <c r="O36" s="456"/>
      <c r="P36" s="456"/>
      <c r="Q36" s="456"/>
      <c r="R36" s="456"/>
      <c r="S36" s="456"/>
      <c r="T36" s="452"/>
      <c r="U36" s="452"/>
      <c r="V36" s="452"/>
      <c r="W36" s="452"/>
      <c r="X36" s="452">
        <v>817.19280000000003</v>
      </c>
      <c r="Y36" s="452"/>
      <c r="Z36" s="452"/>
      <c r="AA36" s="452"/>
      <c r="AB36" s="452"/>
      <c r="AC36" s="452"/>
      <c r="AD36" s="452"/>
      <c r="AE36" s="452"/>
      <c r="AF36" s="452"/>
      <c r="AG36" s="452"/>
      <c r="AH36" s="452"/>
      <c r="AI36" s="452"/>
      <c r="AJ36" s="452"/>
      <c r="AK36" s="460">
        <v>817.19280000000003</v>
      </c>
    </row>
    <row r="37" spans="1:37" x14ac:dyDescent="0.3">
      <c r="A37" s="118"/>
      <c r="B37" s="18" t="s">
        <v>551</v>
      </c>
      <c r="C37" s="119">
        <v>4</v>
      </c>
      <c r="D37" s="119"/>
      <c r="E37" s="119"/>
      <c r="F37" s="119">
        <v>4</v>
      </c>
      <c r="G37" s="120">
        <v>14.98</v>
      </c>
      <c r="H37" s="120">
        <v>0.5</v>
      </c>
      <c r="I37" s="120"/>
      <c r="J37" s="120"/>
      <c r="K37" s="120">
        <v>3.87</v>
      </c>
      <c r="L37" s="120"/>
      <c r="M37" s="120"/>
      <c r="N37" s="120"/>
      <c r="O37" s="120"/>
      <c r="P37" s="120"/>
      <c r="Q37" s="120"/>
      <c r="R37" s="120">
        <v>3.4830000000000001</v>
      </c>
      <c r="S37" s="120">
        <v>22.833000000000002</v>
      </c>
      <c r="T37" s="119">
        <v>493.19280000000003</v>
      </c>
      <c r="U37" s="119">
        <v>124</v>
      </c>
      <c r="V37" s="119"/>
      <c r="W37" s="119"/>
      <c r="X37" s="93">
        <v>617.19280000000003</v>
      </c>
      <c r="Y37" s="119"/>
      <c r="Z37" s="119"/>
      <c r="AA37" s="119"/>
      <c r="AB37" s="119"/>
      <c r="AC37" s="119"/>
      <c r="AD37" s="119"/>
      <c r="AE37" s="119"/>
      <c r="AF37" s="119"/>
      <c r="AG37" s="119"/>
      <c r="AH37" s="119"/>
      <c r="AI37" s="119"/>
      <c r="AJ37" s="119"/>
      <c r="AK37" s="145">
        <v>617.19280000000003</v>
      </c>
    </row>
    <row r="38" spans="1:37" ht="39" customHeight="1" x14ac:dyDescent="0.3">
      <c r="A38" s="118"/>
      <c r="B38" s="167" t="s">
        <v>577</v>
      </c>
      <c r="C38" s="119"/>
      <c r="D38" s="119"/>
      <c r="E38" s="119"/>
      <c r="F38" s="119"/>
      <c r="G38" s="120"/>
      <c r="H38" s="120"/>
      <c r="I38" s="120"/>
      <c r="J38" s="120"/>
      <c r="K38" s="120"/>
      <c r="L38" s="120"/>
      <c r="M38" s="120"/>
      <c r="N38" s="120"/>
      <c r="O38" s="120"/>
      <c r="P38" s="120"/>
      <c r="Q38" s="120"/>
      <c r="R38" s="120"/>
      <c r="S38" s="120"/>
      <c r="T38" s="119"/>
      <c r="U38" s="119"/>
      <c r="V38" s="119">
        <v>200</v>
      </c>
      <c r="W38" s="119"/>
      <c r="X38" s="93">
        <v>200</v>
      </c>
      <c r="Y38" s="119"/>
      <c r="Z38" s="119"/>
      <c r="AA38" s="119"/>
      <c r="AB38" s="119"/>
      <c r="AC38" s="119"/>
      <c r="AD38" s="119"/>
      <c r="AE38" s="119"/>
      <c r="AF38" s="119"/>
      <c r="AG38" s="119"/>
      <c r="AH38" s="119"/>
      <c r="AI38" s="119"/>
      <c r="AJ38" s="119"/>
      <c r="AK38" s="145">
        <v>200</v>
      </c>
    </row>
    <row r="39" spans="1:37" s="457" customFormat="1" ht="25.5" customHeight="1" x14ac:dyDescent="0.3">
      <c r="A39" s="454">
        <v>3</v>
      </c>
      <c r="B39" s="453" t="s">
        <v>264</v>
      </c>
      <c r="C39" s="452"/>
      <c r="D39" s="452"/>
      <c r="E39" s="452"/>
      <c r="F39" s="452"/>
      <c r="G39" s="456"/>
      <c r="H39" s="456"/>
      <c r="I39" s="456"/>
      <c r="J39" s="456"/>
      <c r="K39" s="456"/>
      <c r="L39" s="456"/>
      <c r="M39" s="456"/>
      <c r="N39" s="456"/>
      <c r="O39" s="456"/>
      <c r="P39" s="456"/>
      <c r="Q39" s="456"/>
      <c r="R39" s="456"/>
      <c r="S39" s="456"/>
      <c r="T39" s="452"/>
      <c r="U39" s="452"/>
      <c r="V39" s="452"/>
      <c r="W39" s="452"/>
      <c r="X39" s="452">
        <v>1041.5034759999999</v>
      </c>
      <c r="Y39" s="452">
        <v>0</v>
      </c>
      <c r="Z39" s="452">
        <v>0</v>
      </c>
      <c r="AA39" s="452">
        <v>0</v>
      </c>
      <c r="AB39" s="452">
        <v>0</v>
      </c>
      <c r="AC39" s="452">
        <v>0</v>
      </c>
      <c r="AD39" s="452">
        <v>0</v>
      </c>
      <c r="AE39" s="452">
        <v>0</v>
      </c>
      <c r="AF39" s="452">
        <v>0</v>
      </c>
      <c r="AG39" s="452">
        <v>0</v>
      </c>
      <c r="AH39" s="452">
        <v>0</v>
      </c>
      <c r="AI39" s="452">
        <v>0</v>
      </c>
      <c r="AJ39" s="452">
        <v>0</v>
      </c>
      <c r="AK39" s="452">
        <v>1041.5034759999999</v>
      </c>
    </row>
    <row r="40" spans="1:37" x14ac:dyDescent="0.3">
      <c r="A40" s="118"/>
      <c r="B40" s="18" t="s">
        <v>551</v>
      </c>
      <c r="C40" s="119">
        <v>3</v>
      </c>
      <c r="D40" s="119"/>
      <c r="E40" s="119"/>
      <c r="F40" s="119">
        <v>3</v>
      </c>
      <c r="G40" s="120">
        <v>14.28</v>
      </c>
      <c r="H40" s="120">
        <v>0.5</v>
      </c>
      <c r="I40" s="120">
        <v>0.84660000000000013</v>
      </c>
      <c r="J40" s="120"/>
      <c r="K40" s="120">
        <v>3.90665</v>
      </c>
      <c r="L40" s="120"/>
      <c r="M40" s="120"/>
      <c r="N40" s="120"/>
      <c r="O40" s="120">
        <v>0.4</v>
      </c>
      <c r="P40" s="120"/>
      <c r="Q40" s="120"/>
      <c r="R40" s="120">
        <v>3.5159850000000001</v>
      </c>
      <c r="S40" s="120">
        <v>23.449234999999998</v>
      </c>
      <c r="T40" s="119">
        <v>506.50347599999998</v>
      </c>
      <c r="U40" s="119">
        <v>93</v>
      </c>
      <c r="V40" s="119"/>
      <c r="W40" s="119"/>
      <c r="X40" s="93">
        <v>599.50347599999998</v>
      </c>
      <c r="Y40" s="119"/>
      <c r="Z40" s="119"/>
      <c r="AA40" s="119"/>
      <c r="AB40" s="119"/>
      <c r="AC40" s="119"/>
      <c r="AD40" s="119"/>
      <c r="AE40" s="119"/>
      <c r="AF40" s="119"/>
      <c r="AG40" s="119"/>
      <c r="AH40" s="119"/>
      <c r="AI40" s="119"/>
      <c r="AJ40" s="119"/>
      <c r="AK40" s="145">
        <v>599.50347599999998</v>
      </c>
    </row>
    <row r="41" spans="1:37" x14ac:dyDescent="0.3">
      <c r="A41" s="118"/>
      <c r="B41" s="167" t="s">
        <v>432</v>
      </c>
      <c r="C41" s="119"/>
      <c r="D41" s="119"/>
      <c r="E41" s="119"/>
      <c r="F41" s="119"/>
      <c r="G41" s="120"/>
      <c r="H41" s="120"/>
      <c r="I41" s="120"/>
      <c r="J41" s="120"/>
      <c r="K41" s="120"/>
      <c r="L41" s="120"/>
      <c r="M41" s="120"/>
      <c r="N41" s="120"/>
      <c r="O41" s="120"/>
      <c r="P41" s="120"/>
      <c r="Q41" s="120"/>
      <c r="R41" s="120"/>
      <c r="S41" s="120"/>
      <c r="T41" s="119"/>
      <c r="U41" s="119"/>
      <c r="V41" s="119"/>
      <c r="W41" s="119"/>
      <c r="X41" s="119">
        <v>142</v>
      </c>
      <c r="Y41" s="119"/>
      <c r="Z41" s="119"/>
      <c r="AA41" s="119"/>
      <c r="AB41" s="119"/>
      <c r="AC41" s="119"/>
      <c r="AD41" s="119"/>
      <c r="AE41" s="119"/>
      <c r="AF41" s="119"/>
      <c r="AG41" s="119"/>
      <c r="AH41" s="119"/>
      <c r="AI41" s="119"/>
      <c r="AJ41" s="119"/>
      <c r="AK41" s="145">
        <v>142</v>
      </c>
    </row>
    <row r="42" spans="1:37" ht="37.5" customHeight="1" x14ac:dyDescent="0.3">
      <c r="A42" s="118"/>
      <c r="B42" s="167" t="s">
        <v>508</v>
      </c>
      <c r="C42" s="119"/>
      <c r="D42" s="119"/>
      <c r="E42" s="119"/>
      <c r="F42" s="119"/>
      <c r="G42" s="120"/>
      <c r="H42" s="120"/>
      <c r="I42" s="120"/>
      <c r="J42" s="120"/>
      <c r="K42" s="120"/>
      <c r="L42" s="120"/>
      <c r="M42" s="120"/>
      <c r="N42" s="120"/>
      <c r="O42" s="120"/>
      <c r="P42" s="120"/>
      <c r="Q42" s="120"/>
      <c r="R42" s="120"/>
      <c r="S42" s="120"/>
      <c r="T42" s="119"/>
      <c r="U42" s="119"/>
      <c r="V42" s="119">
        <v>300</v>
      </c>
      <c r="W42" s="119"/>
      <c r="X42" s="93">
        <v>300</v>
      </c>
      <c r="Y42" s="119"/>
      <c r="Z42" s="119"/>
      <c r="AA42" s="119"/>
      <c r="AB42" s="119"/>
      <c r="AC42" s="119"/>
      <c r="AD42" s="119"/>
      <c r="AE42" s="119"/>
      <c r="AF42" s="119"/>
      <c r="AG42" s="119"/>
      <c r="AH42" s="119"/>
      <c r="AI42" s="119"/>
      <c r="AJ42" s="119"/>
      <c r="AK42" s="145">
        <v>300</v>
      </c>
    </row>
    <row r="43" spans="1:37" s="457" customFormat="1" x14ac:dyDescent="0.3">
      <c r="A43" s="454">
        <v>4</v>
      </c>
      <c r="B43" s="453" t="s">
        <v>274</v>
      </c>
      <c r="C43" s="452"/>
      <c r="D43" s="452"/>
      <c r="E43" s="452"/>
      <c r="F43" s="452"/>
      <c r="G43" s="456"/>
      <c r="H43" s="456"/>
      <c r="I43" s="456"/>
      <c r="J43" s="456"/>
      <c r="K43" s="456"/>
      <c r="L43" s="456"/>
      <c r="M43" s="456"/>
      <c r="N43" s="456"/>
      <c r="O43" s="456"/>
      <c r="P43" s="456"/>
      <c r="Q43" s="456"/>
      <c r="R43" s="456"/>
      <c r="S43" s="456"/>
      <c r="T43" s="452"/>
      <c r="U43" s="452"/>
      <c r="V43" s="452"/>
      <c r="W43" s="452"/>
      <c r="X43" s="452">
        <v>3577.0059680000004</v>
      </c>
      <c r="Y43" s="452"/>
      <c r="Z43" s="452"/>
      <c r="AA43" s="452"/>
      <c r="AB43" s="452"/>
      <c r="AC43" s="452"/>
      <c r="AD43" s="452"/>
      <c r="AE43" s="452"/>
      <c r="AF43" s="452"/>
      <c r="AG43" s="452"/>
      <c r="AH43" s="452"/>
      <c r="AI43" s="452"/>
      <c r="AJ43" s="452"/>
      <c r="AK43" s="464">
        <v>3577.0059680000004</v>
      </c>
    </row>
    <row r="44" spans="1:37" x14ac:dyDescent="0.3">
      <c r="A44" s="118"/>
      <c r="B44" s="18" t="s">
        <v>551</v>
      </c>
      <c r="C44" s="119">
        <v>7</v>
      </c>
      <c r="D44" s="119">
        <v>2</v>
      </c>
      <c r="E44" s="119"/>
      <c r="F44" s="119">
        <v>9</v>
      </c>
      <c r="G44" s="120">
        <v>33.770000000000003</v>
      </c>
      <c r="H44" s="120">
        <v>0.7</v>
      </c>
      <c r="I44" s="120">
        <v>0.29880000000000001</v>
      </c>
      <c r="J44" s="120"/>
      <c r="K44" s="120">
        <v>7.9422000000000015</v>
      </c>
      <c r="L44" s="120"/>
      <c r="M44" s="120"/>
      <c r="N44" s="120">
        <v>0.27</v>
      </c>
      <c r="O44" s="120">
        <v>0.4</v>
      </c>
      <c r="P44" s="120"/>
      <c r="Q44" s="120"/>
      <c r="R44" s="120">
        <v>7.8229800000000012</v>
      </c>
      <c r="S44" s="120">
        <v>51.203980000000008</v>
      </c>
      <c r="T44" s="119">
        <v>1106.0059680000002</v>
      </c>
      <c r="U44" s="119">
        <v>271</v>
      </c>
      <c r="V44" s="119"/>
      <c r="W44" s="119"/>
      <c r="X44" s="93">
        <v>1377.0059680000002</v>
      </c>
      <c r="Y44" s="119"/>
      <c r="Z44" s="119"/>
      <c r="AA44" s="119"/>
      <c r="AB44" s="119"/>
      <c r="AC44" s="119"/>
      <c r="AD44" s="119"/>
      <c r="AE44" s="119"/>
      <c r="AF44" s="119"/>
      <c r="AG44" s="119"/>
      <c r="AH44" s="119"/>
      <c r="AI44" s="119"/>
      <c r="AJ44" s="119"/>
      <c r="AK44" s="145">
        <v>1377.0059680000002</v>
      </c>
    </row>
    <row r="45" spans="1:37" x14ac:dyDescent="0.3">
      <c r="A45" s="118"/>
      <c r="B45" s="18" t="s">
        <v>391</v>
      </c>
      <c r="C45" s="119"/>
      <c r="D45" s="119"/>
      <c r="E45" s="119"/>
      <c r="F45" s="119"/>
      <c r="G45" s="120"/>
      <c r="H45" s="120"/>
      <c r="I45" s="120"/>
      <c r="J45" s="120"/>
      <c r="K45" s="120"/>
      <c r="L45" s="120"/>
      <c r="M45" s="120"/>
      <c r="N45" s="120"/>
      <c r="O45" s="120"/>
      <c r="P45" s="120"/>
      <c r="Q45" s="120"/>
      <c r="R45" s="120"/>
      <c r="S45" s="120"/>
      <c r="T45" s="119"/>
      <c r="U45" s="119"/>
      <c r="V45" s="119">
        <v>2400</v>
      </c>
      <c r="W45" s="119"/>
      <c r="X45" s="93">
        <v>2000</v>
      </c>
      <c r="Y45" s="119"/>
      <c r="Z45" s="119"/>
      <c r="AA45" s="119"/>
      <c r="AB45" s="119"/>
      <c r="AC45" s="119"/>
      <c r="AD45" s="119"/>
      <c r="AE45" s="119"/>
      <c r="AF45" s="119"/>
      <c r="AG45" s="119"/>
      <c r="AH45" s="119"/>
      <c r="AI45" s="119"/>
      <c r="AJ45" s="119"/>
      <c r="AK45" s="145">
        <v>2000</v>
      </c>
    </row>
    <row r="46" spans="1:37" ht="31.2" x14ac:dyDescent="0.3">
      <c r="A46" s="118"/>
      <c r="B46" s="167" t="s">
        <v>392</v>
      </c>
      <c r="C46" s="119"/>
      <c r="D46" s="119"/>
      <c r="E46" s="119"/>
      <c r="F46" s="119"/>
      <c r="G46" s="120"/>
      <c r="H46" s="120"/>
      <c r="I46" s="120"/>
      <c r="J46" s="120"/>
      <c r="K46" s="120"/>
      <c r="L46" s="120"/>
      <c r="M46" s="120"/>
      <c r="N46" s="120"/>
      <c r="O46" s="120"/>
      <c r="P46" s="120"/>
      <c r="Q46" s="120"/>
      <c r="R46" s="120"/>
      <c r="S46" s="120"/>
      <c r="T46" s="119"/>
      <c r="U46" s="119"/>
      <c r="V46" s="119">
        <v>200</v>
      </c>
      <c r="W46" s="119"/>
      <c r="X46" s="93">
        <v>200</v>
      </c>
      <c r="Y46" s="119"/>
      <c r="Z46" s="119"/>
      <c r="AA46" s="119"/>
      <c r="AB46" s="119"/>
      <c r="AC46" s="119"/>
      <c r="AD46" s="119"/>
      <c r="AE46" s="119"/>
      <c r="AF46" s="119"/>
      <c r="AG46" s="119"/>
      <c r="AH46" s="119"/>
      <c r="AI46" s="119"/>
      <c r="AJ46" s="119"/>
      <c r="AK46" s="145">
        <v>200</v>
      </c>
    </row>
    <row r="47" spans="1:37" s="457" customFormat="1" x14ac:dyDescent="0.3">
      <c r="A47" s="454">
        <v>5</v>
      </c>
      <c r="B47" s="455" t="s">
        <v>275</v>
      </c>
      <c r="C47" s="452">
        <v>6</v>
      </c>
      <c r="D47" s="452"/>
      <c r="E47" s="452"/>
      <c r="F47" s="452">
        <v>5</v>
      </c>
      <c r="G47" s="456">
        <v>23.72</v>
      </c>
      <c r="H47" s="456">
        <v>0.7</v>
      </c>
      <c r="I47" s="456">
        <v>0.29880000000000001</v>
      </c>
      <c r="J47" s="456">
        <v>1.77</v>
      </c>
      <c r="K47" s="456">
        <v>6.1796999999999995</v>
      </c>
      <c r="L47" s="456"/>
      <c r="M47" s="456">
        <v>4.49</v>
      </c>
      <c r="N47" s="456"/>
      <c r="O47" s="456">
        <v>0.4</v>
      </c>
      <c r="P47" s="456"/>
      <c r="Q47" s="456"/>
      <c r="R47" s="456">
        <v>5.9599799999999998</v>
      </c>
      <c r="S47" s="456">
        <v>43.518479999999997</v>
      </c>
      <c r="T47" s="452">
        <v>956.99916800000005</v>
      </c>
      <c r="U47" s="452">
        <v>186</v>
      </c>
      <c r="V47" s="452"/>
      <c r="W47" s="452"/>
      <c r="X47" s="452">
        <v>1142.9991680000001</v>
      </c>
      <c r="Y47" s="452"/>
      <c r="Z47" s="452"/>
      <c r="AA47" s="452"/>
      <c r="AB47" s="452"/>
      <c r="AC47" s="452"/>
      <c r="AD47" s="452"/>
      <c r="AE47" s="452"/>
      <c r="AF47" s="452"/>
      <c r="AG47" s="452"/>
      <c r="AH47" s="452"/>
      <c r="AI47" s="452"/>
      <c r="AJ47" s="452"/>
      <c r="AK47" s="460">
        <v>1142.9991680000001</v>
      </c>
    </row>
    <row r="48" spans="1:37" s="457" customFormat="1" x14ac:dyDescent="0.3">
      <c r="A48" s="454">
        <v>6</v>
      </c>
      <c r="B48" s="455" t="s">
        <v>552</v>
      </c>
      <c r="C48" s="452"/>
      <c r="D48" s="452"/>
      <c r="E48" s="452"/>
      <c r="F48" s="452"/>
      <c r="G48" s="456"/>
      <c r="H48" s="456"/>
      <c r="I48" s="456"/>
      <c r="J48" s="456"/>
      <c r="K48" s="456"/>
      <c r="L48" s="456"/>
      <c r="M48" s="456"/>
      <c r="N48" s="456"/>
      <c r="O48" s="456"/>
      <c r="P48" s="456"/>
      <c r="Q48" s="456"/>
      <c r="R48" s="456"/>
      <c r="S48" s="456"/>
      <c r="T48" s="452"/>
      <c r="U48" s="452"/>
      <c r="V48" s="452"/>
      <c r="W48" s="452"/>
      <c r="X48" s="452">
        <v>897.60292400000003</v>
      </c>
      <c r="Y48" s="452">
        <v>0</v>
      </c>
      <c r="Z48" s="452">
        <v>0</v>
      </c>
      <c r="AA48" s="452">
        <v>0</v>
      </c>
      <c r="AB48" s="452">
        <v>0</v>
      </c>
      <c r="AC48" s="452">
        <v>0</v>
      </c>
      <c r="AD48" s="452">
        <v>0</v>
      </c>
      <c r="AE48" s="452">
        <v>0</v>
      </c>
      <c r="AF48" s="452">
        <v>0</v>
      </c>
      <c r="AG48" s="452">
        <v>0</v>
      </c>
      <c r="AH48" s="452">
        <v>0</v>
      </c>
      <c r="AI48" s="452">
        <v>0</v>
      </c>
      <c r="AJ48" s="452">
        <v>0</v>
      </c>
      <c r="AK48" s="452">
        <v>897.60292400000003</v>
      </c>
    </row>
    <row r="49" spans="1:37" x14ac:dyDescent="0.3">
      <c r="A49" s="118"/>
      <c r="B49" s="18" t="s">
        <v>551</v>
      </c>
      <c r="C49" s="119">
        <v>5</v>
      </c>
      <c r="D49" s="119"/>
      <c r="E49" s="119"/>
      <c r="F49" s="119">
        <v>5</v>
      </c>
      <c r="G49" s="120">
        <v>22.02</v>
      </c>
      <c r="H49" s="120">
        <v>0.7</v>
      </c>
      <c r="I49" s="120">
        <v>0.29880000000000001</v>
      </c>
      <c r="J49" s="120">
        <v>0.34860000000000008</v>
      </c>
      <c r="K49" s="120">
        <v>5.7546999999999997</v>
      </c>
      <c r="L49" s="120"/>
      <c r="M49" s="120"/>
      <c r="N49" s="120"/>
      <c r="O49" s="120"/>
      <c r="P49" s="120"/>
      <c r="Q49" s="120"/>
      <c r="R49" s="120">
        <v>5.2576650000000003</v>
      </c>
      <c r="S49" s="120">
        <v>34.379764999999999</v>
      </c>
      <c r="T49" s="119">
        <v>742.60292400000003</v>
      </c>
      <c r="U49" s="119">
        <v>155</v>
      </c>
      <c r="V49" s="119"/>
      <c r="W49" s="119"/>
      <c r="X49" s="93">
        <v>897.60292400000003</v>
      </c>
      <c r="Y49" s="119"/>
      <c r="Z49" s="119"/>
      <c r="AA49" s="119"/>
      <c r="AB49" s="119"/>
      <c r="AC49" s="119"/>
      <c r="AD49" s="119"/>
      <c r="AE49" s="119"/>
      <c r="AF49" s="119"/>
      <c r="AG49" s="119"/>
      <c r="AH49" s="119"/>
      <c r="AI49" s="119"/>
      <c r="AJ49" s="119"/>
      <c r="AK49" s="145">
        <v>897.60292400000003</v>
      </c>
    </row>
    <row r="50" spans="1:37" hidden="1" x14ac:dyDescent="0.3">
      <c r="A50" s="118"/>
      <c r="B50" s="18"/>
      <c r="C50" s="119"/>
      <c r="D50" s="119"/>
      <c r="E50" s="119"/>
      <c r="F50" s="119"/>
      <c r="G50" s="120"/>
      <c r="H50" s="120"/>
      <c r="I50" s="120"/>
      <c r="J50" s="120"/>
      <c r="K50" s="120"/>
      <c r="L50" s="120"/>
      <c r="M50" s="120"/>
      <c r="N50" s="120"/>
      <c r="O50" s="120"/>
      <c r="P50" s="120"/>
      <c r="Q50" s="120"/>
      <c r="R50" s="120"/>
      <c r="S50" s="120"/>
      <c r="T50" s="119"/>
      <c r="U50" s="119"/>
      <c r="V50" s="119"/>
      <c r="W50" s="119"/>
      <c r="X50" s="93"/>
      <c r="Y50" s="119"/>
      <c r="Z50" s="119"/>
      <c r="AA50" s="119"/>
      <c r="AB50" s="119"/>
      <c r="AC50" s="119"/>
      <c r="AD50" s="119"/>
      <c r="AE50" s="119"/>
      <c r="AF50" s="119"/>
      <c r="AG50" s="119"/>
      <c r="AH50" s="119"/>
      <c r="AI50" s="119"/>
      <c r="AJ50" s="119"/>
      <c r="AK50" s="145"/>
    </row>
    <row r="51" spans="1:37" s="457" customFormat="1" x14ac:dyDescent="0.3">
      <c r="A51" s="454">
        <v>7</v>
      </c>
      <c r="B51" s="455" t="s">
        <v>276</v>
      </c>
      <c r="C51" s="452"/>
      <c r="D51" s="452"/>
      <c r="E51" s="452"/>
      <c r="F51" s="452"/>
      <c r="G51" s="456"/>
      <c r="H51" s="456"/>
      <c r="I51" s="456"/>
      <c r="J51" s="456"/>
      <c r="K51" s="456"/>
      <c r="L51" s="456"/>
      <c r="M51" s="456"/>
      <c r="N51" s="456"/>
      <c r="O51" s="456"/>
      <c r="P51" s="456"/>
      <c r="Q51" s="456"/>
      <c r="R51" s="456"/>
      <c r="S51" s="456"/>
      <c r="T51" s="452"/>
      <c r="U51" s="452"/>
      <c r="V51" s="452"/>
      <c r="W51" s="452"/>
      <c r="X51" s="452">
        <v>1414.140508</v>
      </c>
      <c r="Y51" s="452">
        <v>0</v>
      </c>
      <c r="Z51" s="452">
        <v>19000</v>
      </c>
      <c r="AA51" s="452">
        <v>0</v>
      </c>
      <c r="AB51" s="452">
        <v>0</v>
      </c>
      <c r="AC51" s="452">
        <v>0</v>
      </c>
      <c r="AD51" s="452">
        <v>0</v>
      </c>
      <c r="AE51" s="452">
        <v>0</v>
      </c>
      <c r="AF51" s="452">
        <v>0</v>
      </c>
      <c r="AG51" s="452">
        <v>0</v>
      </c>
      <c r="AH51" s="452">
        <v>0</v>
      </c>
      <c r="AI51" s="452">
        <v>0</v>
      </c>
      <c r="AJ51" s="452">
        <v>0</v>
      </c>
      <c r="AK51" s="452">
        <v>20414.140508</v>
      </c>
    </row>
    <row r="52" spans="1:37" x14ac:dyDescent="0.3">
      <c r="A52" s="118"/>
      <c r="B52" s="18" t="s">
        <v>551</v>
      </c>
      <c r="C52" s="119">
        <v>7</v>
      </c>
      <c r="D52" s="119"/>
      <c r="E52" s="119"/>
      <c r="F52" s="119">
        <v>7</v>
      </c>
      <c r="G52" s="120">
        <v>24.96</v>
      </c>
      <c r="H52" s="120">
        <v>0.7</v>
      </c>
      <c r="I52" s="120">
        <v>0.54780000000000006</v>
      </c>
      <c r="J52" s="120"/>
      <c r="K52" s="120">
        <v>6.5519499999999997</v>
      </c>
      <c r="L52" s="120"/>
      <c r="M52" s="120"/>
      <c r="N52" s="120">
        <v>0.1</v>
      </c>
      <c r="O52" s="120"/>
      <c r="P52" s="120"/>
      <c r="Q52" s="120"/>
      <c r="R52" s="120">
        <v>5.8967549999999997</v>
      </c>
      <c r="S52" s="120">
        <v>38.756504999999997</v>
      </c>
      <c r="T52" s="119">
        <v>837.14050799999995</v>
      </c>
      <c r="U52" s="119">
        <v>217</v>
      </c>
      <c r="V52" s="119"/>
      <c r="W52" s="119"/>
      <c r="X52" s="93">
        <v>1054.140508</v>
      </c>
      <c r="Y52" s="119"/>
      <c r="Z52" s="119"/>
      <c r="AA52" s="119"/>
      <c r="AB52" s="119"/>
      <c r="AC52" s="119"/>
      <c r="AD52" s="119"/>
      <c r="AE52" s="119"/>
      <c r="AF52" s="119"/>
      <c r="AG52" s="119"/>
      <c r="AH52" s="119"/>
      <c r="AI52" s="119"/>
      <c r="AJ52" s="119"/>
      <c r="AK52" s="145">
        <v>1054.140508</v>
      </c>
    </row>
    <row r="53" spans="1:37" x14ac:dyDescent="0.3">
      <c r="A53" s="118"/>
      <c r="B53" s="18" t="s">
        <v>302</v>
      </c>
      <c r="C53" s="119"/>
      <c r="D53" s="119"/>
      <c r="E53" s="119"/>
      <c r="F53" s="119"/>
      <c r="G53" s="120"/>
      <c r="H53" s="120"/>
      <c r="I53" s="120"/>
      <c r="J53" s="120"/>
      <c r="K53" s="120"/>
      <c r="L53" s="120"/>
      <c r="M53" s="120"/>
      <c r="N53" s="120"/>
      <c r="O53" s="120"/>
      <c r="P53" s="120"/>
      <c r="Q53" s="120"/>
      <c r="R53" s="120"/>
      <c r="S53" s="120"/>
      <c r="T53" s="119"/>
      <c r="U53" s="119"/>
      <c r="V53" s="119"/>
      <c r="W53" s="119"/>
      <c r="X53" s="93"/>
      <c r="Y53" s="119"/>
      <c r="Z53" s="93">
        <v>10000</v>
      </c>
      <c r="AA53" s="119"/>
      <c r="AB53" s="119"/>
      <c r="AC53" s="119"/>
      <c r="AD53" s="119"/>
      <c r="AE53" s="119"/>
      <c r="AF53" s="119"/>
      <c r="AG53" s="119"/>
      <c r="AH53" s="119"/>
      <c r="AI53" s="119"/>
      <c r="AJ53" s="119"/>
      <c r="AK53" s="145">
        <v>10000</v>
      </c>
    </row>
    <row r="54" spans="1:37" x14ac:dyDescent="0.3">
      <c r="A54" s="118"/>
      <c r="B54" s="18" t="s">
        <v>303</v>
      </c>
      <c r="C54" s="119"/>
      <c r="D54" s="119"/>
      <c r="E54" s="119"/>
      <c r="F54" s="119"/>
      <c r="G54" s="120"/>
      <c r="H54" s="120"/>
      <c r="I54" s="120"/>
      <c r="J54" s="120"/>
      <c r="K54" s="120"/>
      <c r="L54" s="120"/>
      <c r="M54" s="120"/>
      <c r="N54" s="120"/>
      <c r="O54" s="120"/>
      <c r="P54" s="120"/>
      <c r="Q54" s="120"/>
      <c r="R54" s="120"/>
      <c r="S54" s="120"/>
      <c r="T54" s="119"/>
      <c r="U54" s="119"/>
      <c r="V54" s="119"/>
      <c r="W54" s="119"/>
      <c r="X54" s="93"/>
      <c r="Y54" s="119"/>
      <c r="Z54" s="93">
        <v>1000</v>
      </c>
      <c r="AA54" s="119"/>
      <c r="AB54" s="119"/>
      <c r="AC54" s="119"/>
      <c r="AD54" s="119"/>
      <c r="AE54" s="119"/>
      <c r="AF54" s="119"/>
      <c r="AG54" s="119"/>
      <c r="AH54" s="119"/>
      <c r="AI54" s="119"/>
      <c r="AJ54" s="119"/>
      <c r="AK54" s="145">
        <v>1000</v>
      </c>
    </row>
    <row r="55" spans="1:37" x14ac:dyDescent="0.3">
      <c r="A55" s="118"/>
      <c r="B55" s="18" t="s">
        <v>399</v>
      </c>
      <c r="C55" s="119"/>
      <c r="D55" s="119"/>
      <c r="E55" s="119"/>
      <c r="F55" s="119"/>
      <c r="G55" s="120"/>
      <c r="H55" s="120"/>
      <c r="I55" s="120"/>
      <c r="J55" s="120"/>
      <c r="K55" s="120"/>
      <c r="L55" s="120"/>
      <c r="M55" s="120"/>
      <c r="N55" s="120"/>
      <c r="O55" s="120"/>
      <c r="P55" s="120"/>
      <c r="Q55" s="120"/>
      <c r="R55" s="120"/>
      <c r="S55" s="120"/>
      <c r="T55" s="119"/>
      <c r="U55" s="119"/>
      <c r="V55" s="119"/>
      <c r="W55" s="119"/>
      <c r="X55" s="93">
        <v>360</v>
      </c>
      <c r="Y55" s="119"/>
      <c r="Z55" s="93"/>
      <c r="AA55" s="119"/>
      <c r="AB55" s="119"/>
      <c r="AC55" s="119"/>
      <c r="AD55" s="119"/>
      <c r="AE55" s="119"/>
      <c r="AF55" s="119"/>
      <c r="AG55" s="119"/>
      <c r="AH55" s="119"/>
      <c r="AI55" s="119"/>
      <c r="AJ55" s="119"/>
      <c r="AK55" s="145">
        <v>360</v>
      </c>
    </row>
    <row r="56" spans="1:37" x14ac:dyDescent="0.3">
      <c r="A56" s="118"/>
      <c r="B56" s="18" t="s">
        <v>418</v>
      </c>
      <c r="C56" s="119"/>
      <c r="D56" s="119"/>
      <c r="E56" s="119"/>
      <c r="F56" s="119"/>
      <c r="G56" s="120"/>
      <c r="H56" s="120"/>
      <c r="I56" s="120"/>
      <c r="J56" s="120"/>
      <c r="K56" s="120"/>
      <c r="L56" s="120"/>
      <c r="M56" s="120"/>
      <c r="N56" s="120"/>
      <c r="O56" s="120"/>
      <c r="P56" s="120"/>
      <c r="Q56" s="120"/>
      <c r="R56" s="120"/>
      <c r="S56" s="120"/>
      <c r="T56" s="119"/>
      <c r="U56" s="119"/>
      <c r="V56" s="119"/>
      <c r="W56" s="119"/>
      <c r="X56" s="93"/>
      <c r="Y56" s="119"/>
      <c r="Z56" s="93">
        <v>8000</v>
      </c>
      <c r="AA56" s="119"/>
      <c r="AB56" s="119"/>
      <c r="AC56" s="119"/>
      <c r="AD56" s="119"/>
      <c r="AE56" s="119"/>
      <c r="AF56" s="119"/>
      <c r="AG56" s="119"/>
      <c r="AH56" s="119"/>
      <c r="AI56" s="119"/>
      <c r="AJ56" s="119"/>
      <c r="AK56" s="145">
        <v>8000</v>
      </c>
    </row>
    <row r="57" spans="1:37" s="457" customFormat="1" x14ac:dyDescent="0.3">
      <c r="A57" s="454">
        <v>8</v>
      </c>
      <c r="B57" s="455" t="s">
        <v>277</v>
      </c>
      <c r="C57" s="452"/>
      <c r="D57" s="452"/>
      <c r="E57" s="452"/>
      <c r="F57" s="452"/>
      <c r="G57" s="456"/>
      <c r="H57" s="456"/>
      <c r="I57" s="456"/>
      <c r="J57" s="456"/>
      <c r="K57" s="456"/>
      <c r="L57" s="456"/>
      <c r="M57" s="456"/>
      <c r="N57" s="456"/>
      <c r="O57" s="456"/>
      <c r="P57" s="456"/>
      <c r="Q57" s="456"/>
      <c r="R57" s="456"/>
      <c r="S57" s="456"/>
      <c r="T57" s="452"/>
      <c r="U57" s="452"/>
      <c r="V57" s="452"/>
      <c r="W57" s="452"/>
      <c r="X57" s="452">
        <v>1485.3291999999999</v>
      </c>
      <c r="Y57" s="452">
        <v>0</v>
      </c>
      <c r="Z57" s="452">
        <v>0</v>
      </c>
      <c r="AA57" s="452">
        <v>0</v>
      </c>
      <c r="AB57" s="452">
        <v>0</v>
      </c>
      <c r="AC57" s="452">
        <v>0</v>
      </c>
      <c r="AD57" s="452">
        <v>0</v>
      </c>
      <c r="AE57" s="452">
        <v>0</v>
      </c>
      <c r="AF57" s="452">
        <v>0</v>
      </c>
      <c r="AG57" s="452">
        <v>0</v>
      </c>
      <c r="AH57" s="452">
        <v>0</v>
      </c>
      <c r="AI57" s="452">
        <v>0</v>
      </c>
      <c r="AJ57" s="452">
        <v>0</v>
      </c>
      <c r="AK57" s="452">
        <v>1485.3291999999999</v>
      </c>
    </row>
    <row r="58" spans="1:37" x14ac:dyDescent="0.3">
      <c r="A58" s="118"/>
      <c r="B58" s="18" t="s">
        <v>551</v>
      </c>
      <c r="C58" s="119">
        <v>8</v>
      </c>
      <c r="D58" s="119"/>
      <c r="E58" s="119"/>
      <c r="F58" s="119">
        <v>7</v>
      </c>
      <c r="G58" s="120">
        <v>30.57</v>
      </c>
      <c r="H58" s="120">
        <v>0.7</v>
      </c>
      <c r="I58" s="120">
        <v>0.95</v>
      </c>
      <c r="J58" s="120"/>
      <c r="K58" s="120">
        <v>8.0549999999999997</v>
      </c>
      <c r="L58" s="120"/>
      <c r="M58" s="120"/>
      <c r="N58" s="120">
        <v>0.1</v>
      </c>
      <c r="O58" s="120">
        <v>0.4</v>
      </c>
      <c r="P58" s="120"/>
      <c r="Q58" s="120"/>
      <c r="R58" s="120">
        <v>7.2495000000000003</v>
      </c>
      <c r="S58" s="120">
        <v>48.024499999999996</v>
      </c>
      <c r="T58" s="119">
        <v>1037.3291999999999</v>
      </c>
      <c r="U58" s="119">
        <v>248</v>
      </c>
      <c r="V58" s="119"/>
      <c r="W58" s="119"/>
      <c r="X58" s="93">
        <v>1285.3291999999999</v>
      </c>
      <c r="Y58" s="119"/>
      <c r="Z58" s="119"/>
      <c r="AA58" s="119"/>
      <c r="AB58" s="119"/>
      <c r="AC58" s="119"/>
      <c r="AD58" s="119"/>
      <c r="AE58" s="119"/>
      <c r="AF58" s="119"/>
      <c r="AG58" s="119"/>
      <c r="AH58" s="119"/>
      <c r="AI58" s="119"/>
      <c r="AJ58" s="119"/>
      <c r="AK58" s="145">
        <v>1285.3291999999999</v>
      </c>
    </row>
    <row r="59" spans="1:37" ht="62.4" x14ac:dyDescent="0.3">
      <c r="A59" s="118"/>
      <c r="B59" s="365" t="s">
        <v>573</v>
      </c>
      <c r="C59" s="119"/>
      <c r="D59" s="119"/>
      <c r="E59" s="119"/>
      <c r="F59" s="119"/>
      <c r="G59" s="120"/>
      <c r="H59" s="120"/>
      <c r="I59" s="120"/>
      <c r="J59" s="120"/>
      <c r="K59" s="120"/>
      <c r="L59" s="120"/>
      <c r="M59" s="120"/>
      <c r="N59" s="120"/>
      <c r="O59" s="120"/>
      <c r="P59" s="120"/>
      <c r="Q59" s="120"/>
      <c r="R59" s="120"/>
      <c r="S59" s="120"/>
      <c r="T59" s="119"/>
      <c r="U59" s="119"/>
      <c r="V59" s="119">
        <v>350</v>
      </c>
      <c r="W59" s="119"/>
      <c r="X59" s="93">
        <v>200</v>
      </c>
      <c r="Y59" s="119"/>
      <c r="Z59" s="119"/>
      <c r="AA59" s="119"/>
      <c r="AB59" s="119"/>
      <c r="AC59" s="119"/>
      <c r="AD59" s="119"/>
      <c r="AE59" s="119"/>
      <c r="AF59" s="119"/>
      <c r="AG59" s="119"/>
      <c r="AH59" s="119"/>
      <c r="AI59" s="119"/>
      <c r="AJ59" s="119"/>
      <c r="AK59" s="145">
        <v>200</v>
      </c>
    </row>
    <row r="60" spans="1:37" s="457" customFormat="1" x14ac:dyDescent="0.3">
      <c r="A60" s="454">
        <v>9</v>
      </c>
      <c r="B60" s="458" t="s">
        <v>278</v>
      </c>
      <c r="C60" s="452"/>
      <c r="D60" s="452"/>
      <c r="E60" s="452"/>
      <c r="F60" s="452"/>
      <c r="G60" s="456"/>
      <c r="H60" s="456"/>
      <c r="I60" s="456"/>
      <c r="J60" s="456"/>
      <c r="K60" s="456"/>
      <c r="L60" s="456"/>
      <c r="M60" s="456"/>
      <c r="N60" s="456"/>
      <c r="O60" s="456"/>
      <c r="P60" s="456"/>
      <c r="Q60" s="456"/>
      <c r="R60" s="456"/>
      <c r="S60" s="456"/>
      <c r="T60" s="452"/>
      <c r="U60" s="452"/>
      <c r="V60" s="452"/>
      <c r="W60" s="452"/>
      <c r="X60" s="452">
        <v>1075.341336</v>
      </c>
      <c r="Y60" s="452">
        <v>0</v>
      </c>
      <c r="Z60" s="452">
        <v>2940</v>
      </c>
      <c r="AA60" s="452">
        <v>0</v>
      </c>
      <c r="AB60" s="452">
        <v>0</v>
      </c>
      <c r="AC60" s="452">
        <v>0</v>
      </c>
      <c r="AD60" s="452">
        <v>0</v>
      </c>
      <c r="AE60" s="452">
        <v>0</v>
      </c>
      <c r="AF60" s="452">
        <v>0</v>
      </c>
      <c r="AG60" s="452">
        <v>0</v>
      </c>
      <c r="AH60" s="452">
        <v>0</v>
      </c>
      <c r="AI60" s="452">
        <v>0</v>
      </c>
      <c r="AJ60" s="452">
        <v>0</v>
      </c>
      <c r="AK60" s="452">
        <v>4015.341336</v>
      </c>
    </row>
    <row r="61" spans="1:37" x14ac:dyDescent="0.3">
      <c r="A61" s="118">
        <v>9.1</v>
      </c>
      <c r="B61" s="18" t="s">
        <v>551</v>
      </c>
      <c r="C61" s="119">
        <v>6</v>
      </c>
      <c r="D61" s="119">
        <v>1</v>
      </c>
      <c r="E61" s="119"/>
      <c r="F61" s="119">
        <v>6</v>
      </c>
      <c r="G61" s="120">
        <v>25.43</v>
      </c>
      <c r="H61" s="120">
        <v>0.7</v>
      </c>
      <c r="I61" s="120">
        <v>0.59760000000000002</v>
      </c>
      <c r="J61" s="120"/>
      <c r="K61" s="120">
        <v>6.6818999999999997</v>
      </c>
      <c r="L61" s="120"/>
      <c r="M61" s="120"/>
      <c r="N61" s="120">
        <v>0.1</v>
      </c>
      <c r="O61" s="120">
        <v>0.4</v>
      </c>
      <c r="P61" s="120"/>
      <c r="Q61" s="120"/>
      <c r="R61" s="120">
        <v>6.0137099999999997</v>
      </c>
      <c r="S61" s="120">
        <v>39.923209999999997</v>
      </c>
      <c r="T61" s="119">
        <v>862.34133599999996</v>
      </c>
      <c r="U61" s="119">
        <v>213</v>
      </c>
      <c r="V61" s="119"/>
      <c r="W61" s="119"/>
      <c r="X61" s="93">
        <v>1075.341336</v>
      </c>
      <c r="Y61" s="119"/>
      <c r="Z61" s="119"/>
      <c r="AA61" s="119"/>
      <c r="AB61" s="119"/>
      <c r="AC61" s="119"/>
      <c r="AD61" s="119"/>
      <c r="AE61" s="119"/>
      <c r="AF61" s="119"/>
      <c r="AG61" s="119"/>
      <c r="AH61" s="119"/>
      <c r="AI61" s="119"/>
      <c r="AJ61" s="119"/>
      <c r="AK61" s="145">
        <v>1075.341336</v>
      </c>
    </row>
    <row r="62" spans="1:37" x14ac:dyDescent="0.3">
      <c r="A62" s="118">
        <v>9.1999999999999993</v>
      </c>
      <c r="B62" s="18" t="s">
        <v>304</v>
      </c>
      <c r="C62" s="119"/>
      <c r="D62" s="119"/>
      <c r="E62" s="119"/>
      <c r="F62" s="119"/>
      <c r="G62" s="120"/>
      <c r="H62" s="120"/>
      <c r="I62" s="120"/>
      <c r="J62" s="120"/>
      <c r="K62" s="120"/>
      <c r="L62" s="120"/>
      <c r="M62" s="120"/>
      <c r="N62" s="120"/>
      <c r="O62" s="120"/>
      <c r="P62" s="120"/>
      <c r="Q62" s="120"/>
      <c r="R62" s="120"/>
      <c r="S62" s="120"/>
      <c r="T62" s="119"/>
      <c r="U62" s="119"/>
      <c r="V62" s="119"/>
      <c r="W62" s="119"/>
      <c r="X62" s="93"/>
      <c r="Y62" s="119"/>
      <c r="Z62" s="119">
        <v>2100</v>
      </c>
      <c r="AA62" s="119"/>
      <c r="AB62" s="119"/>
      <c r="AC62" s="119"/>
      <c r="AD62" s="119"/>
      <c r="AE62" s="119"/>
      <c r="AF62" s="119"/>
      <c r="AG62" s="119"/>
      <c r="AH62" s="119"/>
      <c r="AI62" s="119"/>
      <c r="AJ62" s="119"/>
      <c r="AK62" s="145">
        <v>2100</v>
      </c>
    </row>
    <row r="63" spans="1:37" x14ac:dyDescent="0.3">
      <c r="A63" s="118">
        <v>9.3000000000000007</v>
      </c>
      <c r="B63" s="18" t="s">
        <v>357</v>
      </c>
      <c r="C63" s="119"/>
      <c r="D63" s="119"/>
      <c r="E63" s="119"/>
      <c r="F63" s="119"/>
      <c r="G63" s="120"/>
      <c r="H63" s="120"/>
      <c r="I63" s="120"/>
      <c r="J63" s="120"/>
      <c r="K63" s="120"/>
      <c r="L63" s="120"/>
      <c r="M63" s="120"/>
      <c r="N63" s="120"/>
      <c r="O63" s="120"/>
      <c r="P63" s="120"/>
      <c r="Q63" s="120"/>
      <c r="R63" s="120"/>
      <c r="S63" s="120"/>
      <c r="T63" s="119"/>
      <c r="U63" s="119"/>
      <c r="V63" s="119"/>
      <c r="W63" s="119"/>
      <c r="X63" s="93"/>
      <c r="Y63" s="119"/>
      <c r="Z63" s="119">
        <v>150</v>
      </c>
      <c r="AA63" s="119"/>
      <c r="AB63" s="119"/>
      <c r="AC63" s="119"/>
      <c r="AD63" s="119"/>
      <c r="AE63" s="119"/>
      <c r="AF63" s="119"/>
      <c r="AG63" s="119"/>
      <c r="AH63" s="119"/>
      <c r="AI63" s="119"/>
      <c r="AJ63" s="119"/>
      <c r="AK63" s="145">
        <v>150</v>
      </c>
    </row>
    <row r="64" spans="1:37" x14ac:dyDescent="0.3">
      <c r="A64" s="118">
        <v>9.4</v>
      </c>
      <c r="B64" s="18" t="s">
        <v>305</v>
      </c>
      <c r="C64" s="119"/>
      <c r="D64" s="119"/>
      <c r="E64" s="119"/>
      <c r="F64" s="119"/>
      <c r="G64" s="120"/>
      <c r="H64" s="120"/>
      <c r="I64" s="120"/>
      <c r="J64" s="120"/>
      <c r="K64" s="120"/>
      <c r="L64" s="120"/>
      <c r="M64" s="120"/>
      <c r="N64" s="120"/>
      <c r="O64" s="120"/>
      <c r="P64" s="120"/>
      <c r="Q64" s="120"/>
      <c r="R64" s="120"/>
      <c r="S64" s="120"/>
      <c r="T64" s="119"/>
      <c r="U64" s="119"/>
      <c r="V64" s="119"/>
      <c r="W64" s="119"/>
      <c r="X64" s="93"/>
      <c r="Y64" s="119"/>
      <c r="Z64" s="119">
        <v>540</v>
      </c>
      <c r="AA64" s="119"/>
      <c r="AB64" s="119"/>
      <c r="AC64" s="119"/>
      <c r="AD64" s="119"/>
      <c r="AE64" s="119"/>
      <c r="AF64" s="119"/>
      <c r="AG64" s="119"/>
      <c r="AH64" s="119"/>
      <c r="AI64" s="119"/>
      <c r="AJ64" s="119"/>
      <c r="AK64" s="145">
        <v>540</v>
      </c>
    </row>
    <row r="65" spans="1:37" x14ac:dyDescent="0.3">
      <c r="A65" s="118">
        <v>9.5</v>
      </c>
      <c r="B65" s="18" t="s">
        <v>393</v>
      </c>
      <c r="C65" s="119"/>
      <c r="D65" s="119"/>
      <c r="E65" s="119"/>
      <c r="F65" s="119"/>
      <c r="G65" s="120"/>
      <c r="H65" s="120"/>
      <c r="I65" s="120"/>
      <c r="J65" s="120"/>
      <c r="K65" s="120"/>
      <c r="L65" s="120"/>
      <c r="M65" s="120"/>
      <c r="N65" s="120"/>
      <c r="O65" s="120"/>
      <c r="P65" s="120"/>
      <c r="Q65" s="120"/>
      <c r="R65" s="120"/>
      <c r="S65" s="120"/>
      <c r="T65" s="119"/>
      <c r="U65" s="119"/>
      <c r="V65" s="119"/>
      <c r="W65" s="119"/>
      <c r="X65" s="93"/>
      <c r="Y65" s="119"/>
      <c r="Z65" s="119">
        <v>150</v>
      </c>
      <c r="AA65" s="119"/>
      <c r="AB65" s="119"/>
      <c r="AC65" s="119"/>
      <c r="AD65" s="119"/>
      <c r="AE65" s="119"/>
      <c r="AF65" s="119"/>
      <c r="AG65" s="119"/>
      <c r="AH65" s="119"/>
      <c r="AI65" s="119"/>
      <c r="AJ65" s="119"/>
      <c r="AK65" s="145">
        <v>150</v>
      </c>
    </row>
    <row r="66" spans="1:37" s="457" customFormat="1" x14ac:dyDescent="0.3">
      <c r="A66" s="454">
        <v>10</v>
      </c>
      <c r="B66" s="455" t="s">
        <v>279</v>
      </c>
      <c r="C66" s="452"/>
      <c r="D66" s="452"/>
      <c r="E66" s="452"/>
      <c r="F66" s="452"/>
      <c r="G66" s="456"/>
      <c r="H66" s="456"/>
      <c r="I66" s="456"/>
      <c r="J66" s="456"/>
      <c r="K66" s="456"/>
      <c r="L66" s="456"/>
      <c r="M66" s="456"/>
      <c r="N66" s="456"/>
      <c r="O66" s="456"/>
      <c r="P66" s="456"/>
      <c r="Q66" s="456"/>
      <c r="R66" s="456"/>
      <c r="S66" s="456"/>
      <c r="T66" s="452"/>
      <c r="U66" s="452"/>
      <c r="V66" s="452"/>
      <c r="W66" s="452"/>
      <c r="X66" s="452">
        <v>1014.2006</v>
      </c>
      <c r="Y66" s="452">
        <v>12623</v>
      </c>
      <c r="Z66" s="452">
        <v>0</v>
      </c>
      <c r="AA66" s="452">
        <v>0</v>
      </c>
      <c r="AB66" s="452">
        <v>0</v>
      </c>
      <c r="AC66" s="452">
        <v>0</v>
      </c>
      <c r="AD66" s="452">
        <v>0</v>
      </c>
      <c r="AE66" s="452">
        <v>0</v>
      </c>
      <c r="AF66" s="452">
        <v>0</v>
      </c>
      <c r="AG66" s="452">
        <v>0</v>
      </c>
      <c r="AH66" s="452">
        <v>0</v>
      </c>
      <c r="AI66" s="452">
        <v>0</v>
      </c>
      <c r="AJ66" s="452">
        <v>0</v>
      </c>
      <c r="AK66" s="452">
        <v>13637.2006</v>
      </c>
    </row>
    <row r="67" spans="1:37" x14ac:dyDescent="0.3">
      <c r="A67" s="118" t="s">
        <v>587</v>
      </c>
      <c r="B67" s="18" t="s">
        <v>551</v>
      </c>
      <c r="C67" s="119">
        <v>8</v>
      </c>
      <c r="D67" s="119"/>
      <c r="E67" s="119"/>
      <c r="F67" s="119">
        <v>4</v>
      </c>
      <c r="G67" s="120">
        <v>23.01</v>
      </c>
      <c r="H67" s="120">
        <v>0.7</v>
      </c>
      <c r="I67" s="120"/>
      <c r="J67" s="120"/>
      <c r="K67" s="120">
        <v>5.9275000000000002</v>
      </c>
      <c r="L67" s="120"/>
      <c r="M67" s="120"/>
      <c r="N67" s="120">
        <v>0.1</v>
      </c>
      <c r="O67" s="120">
        <v>0.4</v>
      </c>
      <c r="P67" s="120"/>
      <c r="Q67" s="120"/>
      <c r="R67" s="120">
        <v>5.3347500000000005</v>
      </c>
      <c r="S67" s="120">
        <v>35.472250000000003</v>
      </c>
      <c r="T67" s="119">
        <v>766.20060000000001</v>
      </c>
      <c r="U67" s="119">
        <v>248</v>
      </c>
      <c r="V67" s="119"/>
      <c r="W67" s="119"/>
      <c r="X67" s="93">
        <v>1014.2006</v>
      </c>
      <c r="Y67" s="119"/>
      <c r="Z67" s="119"/>
      <c r="AA67" s="119"/>
      <c r="AB67" s="119"/>
      <c r="AC67" s="119"/>
      <c r="AD67" s="119"/>
      <c r="AE67" s="119"/>
      <c r="AF67" s="119"/>
      <c r="AG67" s="119"/>
      <c r="AH67" s="119"/>
      <c r="AI67" s="119"/>
      <c r="AJ67" s="119"/>
      <c r="AK67" s="145">
        <v>1014.2006</v>
      </c>
    </row>
    <row r="68" spans="1:37" s="468" customFormat="1" ht="31.2" x14ac:dyDescent="0.3">
      <c r="A68" s="465" t="s">
        <v>588</v>
      </c>
      <c r="B68" s="466" t="s">
        <v>561</v>
      </c>
      <c r="C68" s="119"/>
      <c r="D68" s="119"/>
      <c r="E68" s="119"/>
      <c r="F68" s="119"/>
      <c r="G68" s="120"/>
      <c r="H68" s="120"/>
      <c r="I68" s="120"/>
      <c r="J68" s="120"/>
      <c r="K68" s="120"/>
      <c r="L68" s="120"/>
      <c r="M68" s="120"/>
      <c r="N68" s="120"/>
      <c r="O68" s="120"/>
      <c r="P68" s="120"/>
      <c r="Q68" s="120"/>
      <c r="R68" s="120"/>
      <c r="S68" s="120"/>
      <c r="T68" s="119"/>
      <c r="U68" s="119"/>
      <c r="V68" s="119"/>
      <c r="W68" s="119"/>
      <c r="X68" s="119"/>
      <c r="Y68" s="119">
        <v>1873</v>
      </c>
      <c r="Z68" s="119"/>
      <c r="AA68" s="119"/>
      <c r="AB68" s="119"/>
      <c r="AC68" s="119"/>
      <c r="AD68" s="119"/>
      <c r="AE68" s="119"/>
      <c r="AF68" s="119"/>
      <c r="AG68" s="119"/>
      <c r="AH68" s="119"/>
      <c r="AI68" s="119"/>
      <c r="AJ68" s="119"/>
      <c r="AK68" s="467">
        <v>1873</v>
      </c>
    </row>
    <row r="69" spans="1:37" s="468" customFormat="1" ht="31.2" x14ac:dyDescent="0.3">
      <c r="A69" s="465" t="s">
        <v>589</v>
      </c>
      <c r="B69" s="466" t="s">
        <v>398</v>
      </c>
      <c r="C69" s="119"/>
      <c r="D69" s="119"/>
      <c r="E69" s="119"/>
      <c r="F69" s="119"/>
      <c r="G69" s="120"/>
      <c r="H69" s="120"/>
      <c r="I69" s="120"/>
      <c r="J69" s="120"/>
      <c r="K69" s="120"/>
      <c r="L69" s="120"/>
      <c r="M69" s="120"/>
      <c r="N69" s="120"/>
      <c r="O69" s="120"/>
      <c r="P69" s="120"/>
      <c r="Q69" s="120"/>
      <c r="R69" s="120"/>
      <c r="S69" s="120"/>
      <c r="T69" s="119"/>
      <c r="U69" s="119"/>
      <c r="V69" s="119"/>
      <c r="W69" s="119"/>
      <c r="X69" s="119"/>
      <c r="Y69" s="119">
        <v>5142</v>
      </c>
      <c r="Z69" s="119"/>
      <c r="AA69" s="119"/>
      <c r="AB69" s="119"/>
      <c r="AC69" s="119"/>
      <c r="AD69" s="119"/>
      <c r="AE69" s="119"/>
      <c r="AF69" s="119"/>
      <c r="AG69" s="119"/>
      <c r="AH69" s="119"/>
      <c r="AI69" s="119"/>
      <c r="AJ69" s="119"/>
      <c r="AK69" s="467">
        <v>5142</v>
      </c>
    </row>
    <row r="70" spans="1:37" s="468" customFormat="1" ht="31.2" x14ac:dyDescent="0.3">
      <c r="A70" s="465" t="s">
        <v>590</v>
      </c>
      <c r="B70" s="466" t="s">
        <v>563</v>
      </c>
      <c r="C70" s="119"/>
      <c r="D70" s="119"/>
      <c r="E70" s="119"/>
      <c r="F70" s="119"/>
      <c r="G70" s="120"/>
      <c r="H70" s="120"/>
      <c r="I70" s="120"/>
      <c r="J70" s="120"/>
      <c r="K70" s="120"/>
      <c r="L70" s="120"/>
      <c r="M70" s="120"/>
      <c r="N70" s="120"/>
      <c r="O70" s="120"/>
      <c r="P70" s="120"/>
      <c r="Q70" s="120"/>
      <c r="R70" s="120"/>
      <c r="S70" s="120"/>
      <c r="T70" s="119"/>
      <c r="U70" s="119"/>
      <c r="V70" s="119"/>
      <c r="W70" s="119"/>
      <c r="X70" s="119"/>
      <c r="Y70" s="119">
        <v>21</v>
      </c>
      <c r="Z70" s="119"/>
      <c r="AA70" s="119"/>
      <c r="AB70" s="119"/>
      <c r="AC70" s="119"/>
      <c r="AD70" s="119"/>
      <c r="AE70" s="119"/>
      <c r="AF70" s="119"/>
      <c r="AG70" s="119"/>
      <c r="AH70" s="119"/>
      <c r="AI70" s="119"/>
      <c r="AJ70" s="119"/>
      <c r="AK70" s="467">
        <v>21</v>
      </c>
    </row>
    <row r="71" spans="1:37" s="468" customFormat="1" ht="32.25" customHeight="1" x14ac:dyDescent="0.3">
      <c r="A71" s="465" t="s">
        <v>591</v>
      </c>
      <c r="B71" s="466" t="s">
        <v>580</v>
      </c>
      <c r="C71" s="119"/>
      <c r="D71" s="119"/>
      <c r="E71" s="119"/>
      <c r="F71" s="119"/>
      <c r="G71" s="120"/>
      <c r="H71" s="120"/>
      <c r="I71" s="120"/>
      <c r="J71" s="120"/>
      <c r="K71" s="120"/>
      <c r="L71" s="120"/>
      <c r="M71" s="120"/>
      <c r="N71" s="120"/>
      <c r="O71" s="120"/>
      <c r="P71" s="120"/>
      <c r="Q71" s="120"/>
      <c r="R71" s="120"/>
      <c r="S71" s="120"/>
      <c r="T71" s="119"/>
      <c r="U71" s="119"/>
      <c r="V71" s="119"/>
      <c r="W71" s="119"/>
      <c r="X71" s="119"/>
      <c r="Y71" s="119">
        <v>3860</v>
      </c>
      <c r="Z71" s="119"/>
      <c r="AA71" s="119"/>
      <c r="AB71" s="119"/>
      <c r="AC71" s="119"/>
      <c r="AD71" s="119"/>
      <c r="AE71" s="119"/>
      <c r="AF71" s="119"/>
      <c r="AG71" s="119"/>
      <c r="AH71" s="119"/>
      <c r="AI71" s="119"/>
      <c r="AJ71" s="119"/>
      <c r="AK71" s="467">
        <v>3860</v>
      </c>
    </row>
    <row r="72" spans="1:37" x14ac:dyDescent="0.3">
      <c r="A72" s="118" t="s">
        <v>592</v>
      </c>
      <c r="B72" s="167" t="s">
        <v>397</v>
      </c>
      <c r="C72" s="119"/>
      <c r="D72" s="119"/>
      <c r="E72" s="119"/>
      <c r="F72" s="119"/>
      <c r="G72" s="120"/>
      <c r="H72" s="120"/>
      <c r="I72" s="120"/>
      <c r="J72" s="120"/>
      <c r="K72" s="120"/>
      <c r="L72" s="120"/>
      <c r="M72" s="120"/>
      <c r="N72" s="120"/>
      <c r="O72" s="120"/>
      <c r="P72" s="120"/>
      <c r="Q72" s="120"/>
      <c r="R72" s="120"/>
      <c r="S72" s="120"/>
      <c r="T72" s="119"/>
      <c r="U72" s="119"/>
      <c r="V72" s="119"/>
      <c r="W72" s="119"/>
      <c r="X72" s="119"/>
      <c r="Y72" s="119">
        <v>586</v>
      </c>
      <c r="Z72" s="119"/>
      <c r="AA72" s="119"/>
      <c r="AB72" s="119"/>
      <c r="AC72" s="119"/>
      <c r="AD72" s="119"/>
      <c r="AE72" s="119"/>
      <c r="AF72" s="119"/>
      <c r="AG72" s="119"/>
      <c r="AH72" s="119"/>
      <c r="AI72" s="119"/>
      <c r="AJ72" s="119"/>
      <c r="AK72" s="145">
        <v>586</v>
      </c>
    </row>
    <row r="73" spans="1:37" x14ac:dyDescent="0.3">
      <c r="A73" s="118" t="s">
        <v>596</v>
      </c>
      <c r="B73" s="167" t="s">
        <v>597</v>
      </c>
      <c r="C73" s="119"/>
      <c r="D73" s="119"/>
      <c r="E73" s="119"/>
      <c r="F73" s="119"/>
      <c r="G73" s="120"/>
      <c r="H73" s="120"/>
      <c r="I73" s="120"/>
      <c r="J73" s="120"/>
      <c r="K73" s="120"/>
      <c r="L73" s="120"/>
      <c r="M73" s="120"/>
      <c r="N73" s="120"/>
      <c r="O73" s="120"/>
      <c r="P73" s="120"/>
      <c r="Q73" s="120"/>
      <c r="R73" s="120"/>
      <c r="S73" s="120"/>
      <c r="T73" s="119"/>
      <c r="U73" s="119"/>
      <c r="V73" s="119"/>
      <c r="W73" s="119"/>
      <c r="X73" s="119"/>
      <c r="Y73" s="119">
        <v>1141</v>
      </c>
      <c r="Z73" s="119"/>
      <c r="AA73" s="119"/>
      <c r="AB73" s="119"/>
      <c r="AC73" s="119"/>
      <c r="AD73" s="119"/>
      <c r="AE73" s="119"/>
      <c r="AF73" s="119"/>
      <c r="AG73" s="119"/>
      <c r="AH73" s="119"/>
      <c r="AI73" s="119"/>
      <c r="AJ73" s="119"/>
      <c r="AK73" s="145">
        <v>1141</v>
      </c>
    </row>
    <row r="74" spans="1:37" s="457" customFormat="1" x14ac:dyDescent="0.3">
      <c r="A74" s="454">
        <v>11</v>
      </c>
      <c r="B74" s="455" t="s">
        <v>280</v>
      </c>
      <c r="C74" s="452"/>
      <c r="D74" s="452"/>
      <c r="E74" s="452"/>
      <c r="F74" s="452"/>
      <c r="G74" s="456"/>
      <c r="H74" s="456"/>
      <c r="I74" s="456"/>
      <c r="J74" s="456"/>
      <c r="K74" s="456"/>
      <c r="L74" s="456"/>
      <c r="M74" s="456"/>
      <c r="N74" s="456"/>
      <c r="O74" s="456"/>
      <c r="P74" s="456"/>
      <c r="Q74" s="456"/>
      <c r="R74" s="456"/>
      <c r="S74" s="456"/>
      <c r="T74" s="452"/>
      <c r="U74" s="452"/>
      <c r="V74" s="452"/>
      <c r="W74" s="452"/>
      <c r="X74" s="452">
        <v>1124.8951999999999</v>
      </c>
      <c r="Y74" s="452">
        <v>0</v>
      </c>
      <c r="Z74" s="452">
        <v>0</v>
      </c>
      <c r="AA74" s="452">
        <v>0</v>
      </c>
      <c r="AB74" s="452">
        <v>0</v>
      </c>
      <c r="AC74" s="452">
        <v>0</v>
      </c>
      <c r="AD74" s="452">
        <v>0</v>
      </c>
      <c r="AE74" s="452">
        <v>0</v>
      </c>
      <c r="AF74" s="452">
        <v>0</v>
      </c>
      <c r="AG74" s="452">
        <v>0</v>
      </c>
      <c r="AH74" s="452">
        <v>12000</v>
      </c>
      <c r="AI74" s="452">
        <v>0</v>
      </c>
      <c r="AJ74" s="452">
        <v>0</v>
      </c>
      <c r="AK74" s="452">
        <v>13124.895199999999</v>
      </c>
    </row>
    <row r="75" spans="1:37" x14ac:dyDescent="0.3">
      <c r="A75" s="118">
        <v>11.1</v>
      </c>
      <c r="B75" s="18" t="s">
        <v>551</v>
      </c>
      <c r="C75" s="119">
        <v>8</v>
      </c>
      <c r="D75" s="119"/>
      <c r="E75" s="119"/>
      <c r="F75" s="119">
        <v>7</v>
      </c>
      <c r="G75" s="120">
        <v>25.62</v>
      </c>
      <c r="H75" s="120">
        <v>0.7</v>
      </c>
      <c r="I75" s="120"/>
      <c r="J75" s="120"/>
      <c r="K75" s="120">
        <v>6.58</v>
      </c>
      <c r="L75" s="120"/>
      <c r="M75" s="120"/>
      <c r="N75" s="120"/>
      <c r="O75" s="120">
        <v>0.4</v>
      </c>
      <c r="P75" s="120"/>
      <c r="Q75" s="120"/>
      <c r="R75" s="120">
        <v>5.9220000000000006</v>
      </c>
      <c r="S75" s="120">
        <v>39.221999999999994</v>
      </c>
      <c r="T75" s="119">
        <v>847.19519999999989</v>
      </c>
      <c r="U75" s="119">
        <v>248</v>
      </c>
      <c r="V75" s="119">
        <v>29.7</v>
      </c>
      <c r="W75" s="119"/>
      <c r="X75" s="93">
        <v>1124.8951999999999</v>
      </c>
      <c r="Y75" s="119"/>
      <c r="Z75" s="119"/>
      <c r="AA75" s="119"/>
      <c r="AB75" s="119"/>
      <c r="AC75" s="119"/>
      <c r="AD75" s="119"/>
      <c r="AE75" s="119"/>
      <c r="AF75" s="119"/>
      <c r="AG75" s="119"/>
      <c r="AH75" s="119"/>
      <c r="AI75" s="119"/>
      <c r="AJ75" s="119"/>
      <c r="AK75" s="145">
        <v>1124.8951999999999</v>
      </c>
    </row>
    <row r="76" spans="1:37" x14ac:dyDescent="0.3">
      <c r="A76" s="118">
        <v>11.2</v>
      </c>
      <c r="B76" s="18" t="s">
        <v>203</v>
      </c>
      <c r="C76" s="119"/>
      <c r="D76" s="119"/>
      <c r="E76" s="119"/>
      <c r="F76" s="119"/>
      <c r="G76" s="120"/>
      <c r="H76" s="120"/>
      <c r="I76" s="120"/>
      <c r="J76" s="120"/>
      <c r="K76" s="120"/>
      <c r="L76" s="120"/>
      <c r="M76" s="120"/>
      <c r="N76" s="120"/>
      <c r="O76" s="120"/>
      <c r="P76" s="120"/>
      <c r="Q76" s="120"/>
      <c r="R76" s="120"/>
      <c r="S76" s="120"/>
      <c r="T76" s="119"/>
      <c r="U76" s="119"/>
      <c r="V76" s="119"/>
      <c r="W76" s="119"/>
      <c r="X76" s="93"/>
      <c r="Y76" s="119"/>
      <c r="Z76" s="119"/>
      <c r="AA76" s="119"/>
      <c r="AB76" s="119"/>
      <c r="AC76" s="119"/>
      <c r="AD76" s="119"/>
      <c r="AE76" s="119"/>
      <c r="AF76" s="119"/>
      <c r="AG76" s="119"/>
      <c r="AH76" s="119">
        <v>12000</v>
      </c>
      <c r="AI76" s="119"/>
      <c r="AJ76" s="119"/>
      <c r="AK76" s="145">
        <v>12000</v>
      </c>
    </row>
    <row r="77" spans="1:37" ht="31.2" x14ac:dyDescent="0.3">
      <c r="A77" s="118" t="s">
        <v>198</v>
      </c>
      <c r="B77" s="167" t="s">
        <v>574</v>
      </c>
      <c r="C77" s="119"/>
      <c r="D77" s="119"/>
      <c r="E77" s="119"/>
      <c r="F77" s="119"/>
      <c r="G77" s="120"/>
      <c r="H77" s="120"/>
      <c r="I77" s="120"/>
      <c r="J77" s="120"/>
      <c r="K77" s="120"/>
      <c r="L77" s="120"/>
      <c r="M77" s="120"/>
      <c r="N77" s="120"/>
      <c r="O77" s="120"/>
      <c r="P77" s="120"/>
      <c r="Q77" s="120"/>
      <c r="R77" s="120"/>
      <c r="S77" s="120"/>
      <c r="T77" s="119"/>
      <c r="U77" s="119"/>
      <c r="V77" s="119"/>
      <c r="W77" s="119"/>
      <c r="X77" s="93"/>
      <c r="Y77" s="119"/>
      <c r="Z77" s="119"/>
      <c r="AA77" s="119"/>
      <c r="AB77" s="119"/>
      <c r="AC77" s="119"/>
      <c r="AD77" s="119"/>
      <c r="AE77" s="119"/>
      <c r="AF77" s="119"/>
      <c r="AG77" s="119"/>
      <c r="AH77" s="119">
        <v>11320</v>
      </c>
      <c r="AI77" s="119"/>
      <c r="AJ77" s="119"/>
      <c r="AK77" s="145">
        <v>11320</v>
      </c>
    </row>
    <row r="78" spans="1:37" ht="31.2" x14ac:dyDescent="0.3">
      <c r="A78" s="118" t="s">
        <v>198</v>
      </c>
      <c r="B78" s="167" t="s">
        <v>527</v>
      </c>
      <c r="C78" s="119"/>
      <c r="D78" s="119"/>
      <c r="E78" s="119"/>
      <c r="F78" s="119"/>
      <c r="G78" s="120"/>
      <c r="H78" s="120"/>
      <c r="I78" s="120"/>
      <c r="J78" s="120"/>
      <c r="K78" s="120"/>
      <c r="L78" s="120"/>
      <c r="M78" s="120"/>
      <c r="N78" s="120"/>
      <c r="O78" s="120"/>
      <c r="P78" s="120"/>
      <c r="Q78" s="120"/>
      <c r="R78" s="120"/>
      <c r="S78" s="120"/>
      <c r="T78" s="119"/>
      <c r="U78" s="119"/>
      <c r="V78" s="119"/>
      <c r="W78" s="119"/>
      <c r="X78" s="93"/>
      <c r="Y78" s="119"/>
      <c r="Z78" s="119"/>
      <c r="AA78" s="119"/>
      <c r="AB78" s="119"/>
      <c r="AC78" s="119"/>
      <c r="AD78" s="119"/>
      <c r="AE78" s="119"/>
      <c r="AF78" s="119"/>
      <c r="AG78" s="119"/>
      <c r="AH78" s="119">
        <v>450</v>
      </c>
      <c r="AI78" s="119"/>
      <c r="AJ78" s="119"/>
      <c r="AK78" s="145">
        <v>450</v>
      </c>
    </row>
    <row r="79" spans="1:37" x14ac:dyDescent="0.3">
      <c r="A79" s="118" t="s">
        <v>198</v>
      </c>
      <c r="B79" s="167" t="s">
        <v>528</v>
      </c>
      <c r="C79" s="119"/>
      <c r="D79" s="119"/>
      <c r="E79" s="119"/>
      <c r="F79" s="119"/>
      <c r="G79" s="120"/>
      <c r="H79" s="120"/>
      <c r="I79" s="120"/>
      <c r="J79" s="120"/>
      <c r="K79" s="120"/>
      <c r="L79" s="120"/>
      <c r="M79" s="120"/>
      <c r="N79" s="120"/>
      <c r="O79" s="120"/>
      <c r="P79" s="120"/>
      <c r="Q79" s="120"/>
      <c r="R79" s="120"/>
      <c r="S79" s="120"/>
      <c r="T79" s="119"/>
      <c r="U79" s="119"/>
      <c r="V79" s="119"/>
      <c r="W79" s="119"/>
      <c r="X79" s="93"/>
      <c r="Y79" s="119"/>
      <c r="Z79" s="119"/>
      <c r="AA79" s="119"/>
      <c r="AB79" s="119"/>
      <c r="AC79" s="119"/>
      <c r="AD79" s="119"/>
      <c r="AE79" s="119"/>
      <c r="AF79" s="119"/>
      <c r="AG79" s="119"/>
      <c r="AH79" s="119">
        <v>100</v>
      </c>
      <c r="AI79" s="119"/>
      <c r="AJ79" s="119"/>
      <c r="AK79" s="145">
        <v>100</v>
      </c>
    </row>
    <row r="80" spans="1:37" ht="31.2" x14ac:dyDescent="0.3">
      <c r="A80" s="118" t="s">
        <v>198</v>
      </c>
      <c r="B80" s="167" t="s">
        <v>529</v>
      </c>
      <c r="C80" s="119"/>
      <c r="D80" s="119"/>
      <c r="E80" s="119"/>
      <c r="F80" s="119"/>
      <c r="G80" s="120"/>
      <c r="H80" s="120"/>
      <c r="I80" s="120"/>
      <c r="J80" s="120"/>
      <c r="K80" s="120"/>
      <c r="L80" s="120"/>
      <c r="M80" s="120"/>
      <c r="N80" s="120"/>
      <c r="O80" s="120"/>
      <c r="P80" s="120"/>
      <c r="Q80" s="120"/>
      <c r="R80" s="120"/>
      <c r="S80" s="120"/>
      <c r="T80" s="119"/>
      <c r="U80" s="119"/>
      <c r="V80" s="119"/>
      <c r="W80" s="119"/>
      <c r="X80" s="93"/>
      <c r="Y80" s="119"/>
      <c r="Z80" s="119"/>
      <c r="AA80" s="119"/>
      <c r="AB80" s="119"/>
      <c r="AC80" s="119"/>
      <c r="AD80" s="119"/>
      <c r="AE80" s="119"/>
      <c r="AF80" s="119"/>
      <c r="AG80" s="119"/>
      <c r="AH80" s="119">
        <v>100</v>
      </c>
      <c r="AI80" s="119"/>
      <c r="AJ80" s="119"/>
      <c r="AK80" s="145">
        <v>100</v>
      </c>
    </row>
    <row r="81" spans="1:37" x14ac:dyDescent="0.3">
      <c r="A81" s="118" t="s">
        <v>198</v>
      </c>
      <c r="B81" s="167" t="s">
        <v>530</v>
      </c>
      <c r="C81" s="119"/>
      <c r="D81" s="119"/>
      <c r="E81" s="119"/>
      <c r="F81" s="119"/>
      <c r="G81" s="120"/>
      <c r="H81" s="120"/>
      <c r="I81" s="120"/>
      <c r="J81" s="120"/>
      <c r="K81" s="120"/>
      <c r="L81" s="120"/>
      <c r="M81" s="120"/>
      <c r="N81" s="120"/>
      <c r="O81" s="120"/>
      <c r="P81" s="120"/>
      <c r="Q81" s="120"/>
      <c r="R81" s="120"/>
      <c r="S81" s="120"/>
      <c r="T81" s="119"/>
      <c r="U81" s="119"/>
      <c r="V81" s="119"/>
      <c r="W81" s="119"/>
      <c r="X81" s="93"/>
      <c r="Y81" s="119"/>
      <c r="Z81" s="119"/>
      <c r="AA81" s="119"/>
      <c r="AB81" s="119"/>
      <c r="AC81" s="119"/>
      <c r="AD81" s="119"/>
      <c r="AE81" s="119"/>
      <c r="AF81" s="119"/>
      <c r="AG81" s="119"/>
      <c r="AH81" s="119">
        <v>30</v>
      </c>
      <c r="AI81" s="119"/>
      <c r="AJ81" s="119"/>
      <c r="AK81" s="145">
        <v>30</v>
      </c>
    </row>
    <row r="82" spans="1:37" s="457" customFormat="1" x14ac:dyDescent="0.3">
      <c r="A82" s="454">
        <v>12</v>
      </c>
      <c r="B82" s="453" t="s">
        <v>281</v>
      </c>
      <c r="C82" s="452"/>
      <c r="D82" s="452"/>
      <c r="E82" s="452"/>
      <c r="F82" s="452"/>
      <c r="G82" s="456"/>
      <c r="H82" s="456"/>
      <c r="I82" s="456"/>
      <c r="J82" s="456"/>
      <c r="K82" s="456"/>
      <c r="L82" s="456"/>
      <c r="M82" s="456"/>
      <c r="N82" s="456"/>
      <c r="O82" s="456"/>
      <c r="P82" s="456"/>
      <c r="Q82" s="456"/>
      <c r="R82" s="456"/>
      <c r="S82" s="456"/>
      <c r="T82" s="452"/>
      <c r="U82" s="452"/>
      <c r="V82" s="452"/>
      <c r="W82" s="452"/>
      <c r="X82" s="452">
        <v>1410.4070000000002</v>
      </c>
      <c r="Y82" s="452">
        <v>2919</v>
      </c>
      <c r="Z82" s="452">
        <v>0</v>
      </c>
      <c r="AA82" s="452">
        <v>53210</v>
      </c>
      <c r="AB82" s="452">
        <v>0</v>
      </c>
      <c r="AC82" s="452">
        <v>0</v>
      </c>
      <c r="AD82" s="452">
        <v>0</v>
      </c>
      <c r="AE82" s="452">
        <v>0</v>
      </c>
      <c r="AF82" s="452">
        <v>0</v>
      </c>
      <c r="AG82" s="452">
        <v>13627</v>
      </c>
      <c r="AH82" s="452">
        <v>0</v>
      </c>
      <c r="AI82" s="452">
        <v>0</v>
      </c>
      <c r="AJ82" s="452">
        <v>0</v>
      </c>
      <c r="AK82" s="452">
        <v>71166.407000000007</v>
      </c>
    </row>
    <row r="83" spans="1:37" x14ac:dyDescent="0.3">
      <c r="A83" s="118">
        <v>12.1</v>
      </c>
      <c r="B83" s="18" t="s">
        <v>551</v>
      </c>
      <c r="C83" s="119">
        <v>6</v>
      </c>
      <c r="D83" s="119">
        <v>1</v>
      </c>
      <c r="E83" s="119"/>
      <c r="F83" s="119">
        <v>7</v>
      </c>
      <c r="G83" s="120">
        <v>29.25</v>
      </c>
      <c r="H83" s="120">
        <v>0.9</v>
      </c>
      <c r="I83" s="120"/>
      <c r="J83" s="120"/>
      <c r="K83" s="120">
        <v>7.5374999999999996</v>
      </c>
      <c r="L83" s="120"/>
      <c r="M83" s="120"/>
      <c r="N83" s="120">
        <v>0.1</v>
      </c>
      <c r="O83" s="120"/>
      <c r="P83" s="120"/>
      <c r="Q83" s="120"/>
      <c r="R83" s="120">
        <v>6.7837499999999995</v>
      </c>
      <c r="S83" s="120">
        <v>44.571249999999999</v>
      </c>
      <c r="T83" s="119">
        <v>962.73900000000003</v>
      </c>
      <c r="U83" s="119">
        <v>217</v>
      </c>
      <c r="V83" s="119"/>
      <c r="W83" s="119"/>
      <c r="X83" s="93">
        <v>1179.739</v>
      </c>
      <c r="Y83" s="119"/>
      <c r="Z83" s="119"/>
      <c r="AA83" s="119"/>
      <c r="AB83" s="119"/>
      <c r="AC83" s="119"/>
      <c r="AD83" s="119"/>
      <c r="AE83" s="119"/>
      <c r="AF83" s="119"/>
      <c r="AG83" s="119"/>
      <c r="AH83" s="119"/>
      <c r="AI83" s="119"/>
      <c r="AJ83" s="119"/>
      <c r="AK83" s="145">
        <v>1179.739</v>
      </c>
    </row>
    <row r="84" spans="1:37" x14ac:dyDescent="0.3">
      <c r="A84" s="118">
        <v>12.2</v>
      </c>
      <c r="B84" s="18" t="s">
        <v>400</v>
      </c>
      <c r="C84" s="119"/>
      <c r="D84" s="119"/>
      <c r="E84" s="119"/>
      <c r="F84" s="119"/>
      <c r="G84" s="120"/>
      <c r="H84" s="120"/>
      <c r="I84" s="120"/>
      <c r="J84" s="120"/>
      <c r="K84" s="120"/>
      <c r="L84" s="120"/>
      <c r="M84" s="120"/>
      <c r="N84" s="120"/>
      <c r="O84" s="120"/>
      <c r="P84" s="120"/>
      <c r="Q84" s="120"/>
      <c r="R84" s="120"/>
      <c r="S84" s="120"/>
      <c r="T84" s="119"/>
      <c r="U84" s="119"/>
      <c r="V84" s="119"/>
      <c r="W84" s="119"/>
      <c r="X84" s="93"/>
      <c r="Y84" s="119">
        <v>2919</v>
      </c>
      <c r="Z84" s="119"/>
      <c r="AA84" s="119"/>
      <c r="AB84" s="119"/>
      <c r="AC84" s="119"/>
      <c r="AD84" s="119"/>
      <c r="AE84" s="119"/>
      <c r="AF84" s="119"/>
      <c r="AG84" s="119"/>
      <c r="AH84" s="119"/>
      <c r="AI84" s="119"/>
      <c r="AJ84" s="119"/>
      <c r="AK84" s="145">
        <v>2919</v>
      </c>
    </row>
    <row r="85" spans="1:37" x14ac:dyDescent="0.3">
      <c r="A85" s="118">
        <v>12.3</v>
      </c>
      <c r="B85" s="18" t="s">
        <v>401</v>
      </c>
      <c r="C85" s="119"/>
      <c r="D85" s="119"/>
      <c r="E85" s="119"/>
      <c r="F85" s="119"/>
      <c r="G85" s="120"/>
      <c r="H85" s="120"/>
      <c r="I85" s="120"/>
      <c r="J85" s="120"/>
      <c r="K85" s="120"/>
      <c r="L85" s="120"/>
      <c r="M85" s="120"/>
      <c r="N85" s="120"/>
      <c r="O85" s="120"/>
      <c r="P85" s="120"/>
      <c r="Q85" s="120"/>
      <c r="R85" s="120"/>
      <c r="S85" s="120"/>
      <c r="T85" s="119"/>
      <c r="U85" s="119"/>
      <c r="V85" s="119"/>
      <c r="W85" s="119"/>
      <c r="X85" s="93"/>
      <c r="Y85" s="119"/>
      <c r="Z85" s="119"/>
      <c r="AA85" s="119"/>
      <c r="AB85" s="119"/>
      <c r="AC85" s="119"/>
      <c r="AD85" s="119"/>
      <c r="AE85" s="119"/>
      <c r="AF85" s="119"/>
      <c r="AG85" s="119">
        <v>9088</v>
      </c>
      <c r="AH85" s="119"/>
      <c r="AI85" s="119"/>
      <c r="AJ85" s="119"/>
      <c r="AK85" s="145">
        <v>9088</v>
      </c>
    </row>
    <row r="86" spans="1:37" x14ac:dyDescent="0.3">
      <c r="A86" s="118">
        <v>12.4</v>
      </c>
      <c r="B86" s="18" t="s">
        <v>402</v>
      </c>
      <c r="C86" s="119"/>
      <c r="D86" s="119"/>
      <c r="E86" s="119"/>
      <c r="F86" s="119"/>
      <c r="G86" s="120"/>
      <c r="H86" s="120"/>
      <c r="I86" s="120"/>
      <c r="J86" s="120"/>
      <c r="K86" s="120"/>
      <c r="L86" s="120"/>
      <c r="M86" s="120"/>
      <c r="N86" s="120"/>
      <c r="O86" s="120"/>
      <c r="P86" s="120"/>
      <c r="Q86" s="120"/>
      <c r="R86" s="120"/>
      <c r="S86" s="120"/>
      <c r="T86" s="119"/>
      <c r="U86" s="119"/>
      <c r="V86" s="119"/>
      <c r="W86" s="119"/>
      <c r="X86" s="93"/>
      <c r="Y86" s="119"/>
      <c r="Z86" s="119"/>
      <c r="AA86" s="119"/>
      <c r="AB86" s="119"/>
      <c r="AC86" s="119"/>
      <c r="AD86" s="119"/>
      <c r="AE86" s="119"/>
      <c r="AF86" s="119"/>
      <c r="AG86" s="119">
        <v>4539</v>
      </c>
      <c r="AH86" s="119"/>
      <c r="AI86" s="119"/>
      <c r="AJ86" s="119"/>
      <c r="AK86" s="145">
        <v>4539</v>
      </c>
    </row>
    <row r="87" spans="1:37" x14ac:dyDescent="0.3">
      <c r="A87" s="118">
        <v>12.5</v>
      </c>
      <c r="B87" s="18" t="s">
        <v>403</v>
      </c>
      <c r="C87" s="119"/>
      <c r="D87" s="119"/>
      <c r="E87" s="119"/>
      <c r="F87" s="119"/>
      <c r="G87" s="120"/>
      <c r="H87" s="120"/>
      <c r="I87" s="120"/>
      <c r="J87" s="120"/>
      <c r="K87" s="120"/>
      <c r="L87" s="120"/>
      <c r="M87" s="120"/>
      <c r="N87" s="120"/>
      <c r="O87" s="120"/>
      <c r="P87" s="120"/>
      <c r="Q87" s="120"/>
      <c r="R87" s="120"/>
      <c r="S87" s="120"/>
      <c r="T87" s="119"/>
      <c r="U87" s="119"/>
      <c r="V87" s="119"/>
      <c r="W87" s="119"/>
      <c r="X87" s="93"/>
      <c r="Y87" s="119"/>
      <c r="Z87" s="119"/>
      <c r="AA87" s="119">
        <v>45833</v>
      </c>
      <c r="AB87" s="119"/>
      <c r="AC87" s="119"/>
      <c r="AD87" s="119"/>
      <c r="AE87" s="119"/>
      <c r="AF87" s="119"/>
      <c r="AG87" s="119"/>
      <c r="AH87" s="119"/>
      <c r="AI87" s="119"/>
      <c r="AJ87" s="119"/>
      <c r="AK87" s="145">
        <v>45833</v>
      </c>
    </row>
    <row r="88" spans="1:37" x14ac:dyDescent="0.3">
      <c r="A88" s="118">
        <v>12.6</v>
      </c>
      <c r="B88" s="18" t="s">
        <v>406</v>
      </c>
      <c r="C88" s="119"/>
      <c r="D88" s="119"/>
      <c r="E88" s="119"/>
      <c r="F88" s="119"/>
      <c r="G88" s="120"/>
      <c r="H88" s="120"/>
      <c r="I88" s="120"/>
      <c r="J88" s="120"/>
      <c r="K88" s="120"/>
      <c r="L88" s="120"/>
      <c r="M88" s="120"/>
      <c r="N88" s="120"/>
      <c r="O88" s="120"/>
      <c r="P88" s="120"/>
      <c r="Q88" s="120"/>
      <c r="R88" s="120"/>
      <c r="S88" s="120"/>
      <c r="T88" s="119"/>
      <c r="U88" s="119"/>
      <c r="V88" s="119"/>
      <c r="W88" s="119"/>
      <c r="X88" s="93"/>
      <c r="Y88" s="119"/>
      <c r="Z88" s="119"/>
      <c r="AA88" s="119">
        <v>2088</v>
      </c>
      <c r="AB88" s="119"/>
      <c r="AC88" s="119"/>
      <c r="AD88" s="119"/>
      <c r="AE88" s="119"/>
      <c r="AF88" s="119"/>
      <c r="AG88" s="119"/>
      <c r="AH88" s="119"/>
      <c r="AI88" s="119"/>
      <c r="AJ88" s="119"/>
      <c r="AK88" s="145">
        <v>2088</v>
      </c>
    </row>
    <row r="89" spans="1:37" x14ac:dyDescent="0.3">
      <c r="A89" s="118">
        <v>12.7</v>
      </c>
      <c r="B89" s="18" t="s">
        <v>405</v>
      </c>
      <c r="C89" s="119"/>
      <c r="D89" s="119"/>
      <c r="E89" s="119"/>
      <c r="F89" s="119"/>
      <c r="G89" s="120"/>
      <c r="H89" s="120"/>
      <c r="I89" s="120"/>
      <c r="J89" s="120"/>
      <c r="K89" s="120"/>
      <c r="L89" s="120"/>
      <c r="M89" s="120"/>
      <c r="N89" s="120"/>
      <c r="O89" s="120"/>
      <c r="P89" s="120"/>
      <c r="Q89" s="120"/>
      <c r="R89" s="120"/>
      <c r="S89" s="120"/>
      <c r="T89" s="119"/>
      <c r="U89" s="119"/>
      <c r="V89" s="119"/>
      <c r="W89" s="119"/>
      <c r="X89" s="93"/>
      <c r="Y89" s="119"/>
      <c r="Z89" s="119"/>
      <c r="AA89" s="119">
        <v>479</v>
      </c>
      <c r="AB89" s="119"/>
      <c r="AC89" s="119"/>
      <c r="AD89" s="119"/>
      <c r="AE89" s="119"/>
      <c r="AF89" s="119"/>
      <c r="AG89" s="119"/>
      <c r="AH89" s="119"/>
      <c r="AI89" s="119"/>
      <c r="AJ89" s="119"/>
      <c r="AK89" s="145">
        <v>479</v>
      </c>
    </row>
    <row r="90" spans="1:37" x14ac:dyDescent="0.3">
      <c r="A90" s="118">
        <v>12.8</v>
      </c>
      <c r="B90" s="18" t="s">
        <v>404</v>
      </c>
      <c r="C90" s="119"/>
      <c r="D90" s="119"/>
      <c r="E90" s="119"/>
      <c r="F90" s="119"/>
      <c r="G90" s="120"/>
      <c r="H90" s="120"/>
      <c r="I90" s="120"/>
      <c r="J90" s="120"/>
      <c r="K90" s="120"/>
      <c r="L90" s="120"/>
      <c r="M90" s="120"/>
      <c r="N90" s="120"/>
      <c r="O90" s="120"/>
      <c r="P90" s="120"/>
      <c r="Q90" s="120"/>
      <c r="R90" s="120"/>
      <c r="S90" s="120"/>
      <c r="T90" s="119"/>
      <c r="U90" s="119"/>
      <c r="V90" s="119"/>
      <c r="W90" s="119"/>
      <c r="X90" s="93"/>
      <c r="Y90" s="119"/>
      <c r="Z90" s="119"/>
      <c r="AA90" s="119">
        <v>2310</v>
      </c>
      <c r="AB90" s="119"/>
      <c r="AC90" s="119"/>
      <c r="AD90" s="119"/>
      <c r="AE90" s="119"/>
      <c r="AF90" s="119"/>
      <c r="AG90" s="119"/>
      <c r="AH90" s="119"/>
      <c r="AI90" s="119"/>
      <c r="AJ90" s="119"/>
      <c r="AK90" s="145">
        <v>2310</v>
      </c>
    </row>
    <row r="91" spans="1:37" ht="46.8" x14ac:dyDescent="0.3">
      <c r="A91" s="118">
        <v>12.9</v>
      </c>
      <c r="B91" s="167" t="s">
        <v>407</v>
      </c>
      <c r="C91" s="119"/>
      <c r="D91" s="119"/>
      <c r="E91" s="119"/>
      <c r="F91" s="119"/>
      <c r="G91" s="120"/>
      <c r="H91" s="120"/>
      <c r="I91" s="120"/>
      <c r="J91" s="120"/>
      <c r="K91" s="120"/>
      <c r="L91" s="120"/>
      <c r="M91" s="120"/>
      <c r="N91" s="120"/>
      <c r="O91" s="120"/>
      <c r="P91" s="120"/>
      <c r="Q91" s="120"/>
      <c r="R91" s="120"/>
      <c r="S91" s="120"/>
      <c r="T91" s="119"/>
      <c r="U91" s="119"/>
      <c r="V91" s="119"/>
      <c r="W91" s="119"/>
      <c r="X91" s="93"/>
      <c r="Y91" s="119"/>
      <c r="Z91" s="119"/>
      <c r="AA91" s="119">
        <v>2500</v>
      </c>
      <c r="AB91" s="119"/>
      <c r="AC91" s="119"/>
      <c r="AD91" s="119"/>
      <c r="AE91" s="119"/>
      <c r="AF91" s="119"/>
      <c r="AG91" s="119"/>
      <c r="AH91" s="119"/>
      <c r="AI91" s="119"/>
      <c r="AJ91" s="119"/>
      <c r="AK91" s="145">
        <v>2500</v>
      </c>
    </row>
    <row r="92" spans="1:37" x14ac:dyDescent="0.3">
      <c r="A92" s="118">
        <v>12.1</v>
      </c>
      <c r="B92" s="18" t="s">
        <v>282</v>
      </c>
      <c r="C92" s="119"/>
      <c r="D92" s="119"/>
      <c r="E92" s="119"/>
      <c r="F92" s="119">
        <v>2</v>
      </c>
      <c r="G92" s="120">
        <v>5.0999999999999996</v>
      </c>
      <c r="H92" s="120"/>
      <c r="I92" s="120"/>
      <c r="J92" s="120"/>
      <c r="K92" s="120"/>
      <c r="L92" s="120"/>
      <c r="M92" s="120"/>
      <c r="N92" s="120">
        <v>0.255</v>
      </c>
      <c r="O92" s="120"/>
      <c r="P92" s="120"/>
      <c r="Q92" s="120"/>
      <c r="R92" s="120"/>
      <c r="S92" s="120">
        <v>5.3549999999999995</v>
      </c>
      <c r="T92" s="119">
        <v>115.66799999999999</v>
      </c>
      <c r="U92" s="119">
        <v>15</v>
      </c>
      <c r="V92" s="119"/>
      <c r="W92" s="119"/>
      <c r="X92" s="93">
        <v>130.66800000000001</v>
      </c>
      <c r="Y92" s="119"/>
      <c r="Z92" s="119"/>
      <c r="AA92" s="119"/>
      <c r="AB92" s="119"/>
      <c r="AC92" s="119"/>
      <c r="AD92" s="119"/>
      <c r="AE92" s="119"/>
      <c r="AF92" s="119"/>
      <c r="AG92" s="119"/>
      <c r="AH92" s="119"/>
      <c r="AI92" s="119"/>
      <c r="AJ92" s="119"/>
      <c r="AK92" s="145">
        <v>130.66800000000001</v>
      </c>
    </row>
    <row r="93" spans="1:37" x14ac:dyDescent="0.3">
      <c r="A93" s="118">
        <v>12.11</v>
      </c>
      <c r="B93" s="18" t="s">
        <v>553</v>
      </c>
      <c r="C93" s="119"/>
      <c r="D93" s="119"/>
      <c r="E93" s="119"/>
      <c r="F93" s="119"/>
      <c r="G93" s="120"/>
      <c r="H93" s="120"/>
      <c r="I93" s="120"/>
      <c r="J93" s="120"/>
      <c r="K93" s="120"/>
      <c r="L93" s="120"/>
      <c r="M93" s="120"/>
      <c r="N93" s="120"/>
      <c r="O93" s="120"/>
      <c r="P93" s="120"/>
      <c r="Q93" s="120"/>
      <c r="R93" s="120"/>
      <c r="S93" s="120"/>
      <c r="T93" s="119">
        <v>0</v>
      </c>
      <c r="U93" s="119"/>
      <c r="V93" s="119">
        <v>100</v>
      </c>
      <c r="W93" s="119"/>
      <c r="X93" s="93">
        <v>100</v>
      </c>
      <c r="Y93" s="119"/>
      <c r="Z93" s="119"/>
      <c r="AA93" s="119"/>
      <c r="AB93" s="119"/>
      <c r="AC93" s="119"/>
      <c r="AD93" s="119"/>
      <c r="AE93" s="119"/>
      <c r="AF93" s="119"/>
      <c r="AG93" s="119"/>
      <c r="AH93" s="119"/>
      <c r="AI93" s="119"/>
      <c r="AJ93" s="119"/>
      <c r="AK93" s="145">
        <v>100</v>
      </c>
    </row>
    <row r="94" spans="1:37" s="56" customFormat="1" x14ac:dyDescent="0.3">
      <c r="A94" s="165" t="s">
        <v>39</v>
      </c>
      <c r="B94" s="166" t="s">
        <v>283</v>
      </c>
      <c r="C94" s="155">
        <v>32</v>
      </c>
      <c r="D94" s="155">
        <v>0</v>
      </c>
      <c r="E94" s="155">
        <v>5</v>
      </c>
      <c r="F94" s="155">
        <v>32</v>
      </c>
      <c r="G94" s="155">
        <v>135.96</v>
      </c>
      <c r="H94" s="155">
        <v>6.15</v>
      </c>
      <c r="I94" s="155">
        <v>1.57</v>
      </c>
      <c r="J94" s="155">
        <v>2.4</v>
      </c>
      <c r="K94" s="155">
        <v>35.92</v>
      </c>
      <c r="L94" s="155">
        <v>43.103999999999999</v>
      </c>
      <c r="M94" s="155">
        <v>0</v>
      </c>
      <c r="N94" s="155">
        <v>2.2599999999999998</v>
      </c>
      <c r="O94" s="155">
        <v>3.6</v>
      </c>
      <c r="P94" s="155"/>
      <c r="Q94" s="155"/>
      <c r="R94" s="155">
        <v>32.868000000000002</v>
      </c>
      <c r="S94" s="155">
        <v>269.68199999999996</v>
      </c>
      <c r="T94" s="155">
        <v>5825.1311999999989</v>
      </c>
      <c r="U94" s="155">
        <v>1274</v>
      </c>
      <c r="V94" s="155">
        <v>0</v>
      </c>
      <c r="W94" s="155"/>
      <c r="X94" s="155">
        <v>12553.731199999998</v>
      </c>
      <c r="Y94" s="155">
        <v>0</v>
      </c>
      <c r="Z94" s="155">
        <v>0</v>
      </c>
      <c r="AA94" s="155">
        <v>0</v>
      </c>
      <c r="AB94" s="155">
        <v>0</v>
      </c>
      <c r="AC94" s="155">
        <v>0</v>
      </c>
      <c r="AD94" s="155">
        <v>0</v>
      </c>
      <c r="AE94" s="155">
        <v>0</v>
      </c>
      <c r="AF94" s="155">
        <v>0</v>
      </c>
      <c r="AG94" s="155">
        <v>0</v>
      </c>
      <c r="AH94" s="155">
        <v>0</v>
      </c>
      <c r="AI94" s="155">
        <v>0</v>
      </c>
      <c r="AJ94" s="155">
        <v>0</v>
      </c>
      <c r="AK94" s="155">
        <v>12553.731199999998</v>
      </c>
    </row>
    <row r="95" spans="1:37" s="457" customFormat="1" x14ac:dyDescent="0.3">
      <c r="A95" s="454">
        <v>1</v>
      </c>
      <c r="B95" s="455" t="s">
        <v>272</v>
      </c>
      <c r="C95" s="463">
        <v>32</v>
      </c>
      <c r="D95" s="452"/>
      <c r="E95" s="452">
        <v>5</v>
      </c>
      <c r="F95" s="452">
        <v>32</v>
      </c>
      <c r="G95" s="456">
        <v>135.96</v>
      </c>
      <c r="H95" s="456">
        <v>6.15</v>
      </c>
      <c r="I95" s="456">
        <v>1.57</v>
      </c>
      <c r="J95" s="456">
        <v>2.4</v>
      </c>
      <c r="K95" s="456">
        <v>35.92</v>
      </c>
      <c r="L95" s="456">
        <v>43.103999999999999</v>
      </c>
      <c r="M95" s="456"/>
      <c r="N95" s="456">
        <v>2.2599999999999998</v>
      </c>
      <c r="O95" s="456">
        <v>3.6</v>
      </c>
      <c r="P95" s="456">
        <v>4.6499999999999995</v>
      </c>
      <c r="Q95" s="456">
        <v>1.2000000000000002</v>
      </c>
      <c r="R95" s="456">
        <v>32.868000000000002</v>
      </c>
      <c r="S95" s="456">
        <v>269.68199999999996</v>
      </c>
      <c r="T95" s="452">
        <v>5825.1311999999989</v>
      </c>
      <c r="U95" s="452">
        <v>1274</v>
      </c>
      <c r="V95" s="452"/>
      <c r="W95" s="452"/>
      <c r="X95" s="452">
        <v>7099.1311999999989</v>
      </c>
      <c r="Y95" s="452"/>
      <c r="Z95" s="452"/>
      <c r="AA95" s="452"/>
      <c r="AB95" s="452"/>
      <c r="AC95" s="452"/>
      <c r="AD95" s="452"/>
      <c r="AE95" s="452"/>
      <c r="AF95" s="452"/>
      <c r="AG95" s="452"/>
      <c r="AH95" s="452"/>
      <c r="AI95" s="452"/>
      <c r="AJ95" s="452"/>
      <c r="AK95" s="460">
        <v>7099.1311999999989</v>
      </c>
    </row>
    <row r="96" spans="1:37" s="457" customFormat="1" x14ac:dyDescent="0.3">
      <c r="A96" s="454">
        <v>2</v>
      </c>
      <c r="B96" s="455" t="s">
        <v>554</v>
      </c>
      <c r="C96" s="452"/>
      <c r="D96" s="452"/>
      <c r="E96" s="452"/>
      <c r="F96" s="452"/>
      <c r="G96" s="456"/>
      <c r="H96" s="456"/>
      <c r="I96" s="456"/>
      <c r="J96" s="456"/>
      <c r="K96" s="456"/>
      <c r="L96" s="456"/>
      <c r="M96" s="456"/>
      <c r="N96" s="456"/>
      <c r="O96" s="456"/>
      <c r="P96" s="456"/>
      <c r="Q96" s="456"/>
      <c r="R96" s="456"/>
      <c r="S96" s="456"/>
      <c r="T96" s="452"/>
      <c r="U96" s="452"/>
      <c r="V96" s="452"/>
      <c r="W96" s="452"/>
      <c r="X96" s="452">
        <v>5075.6000000000004</v>
      </c>
      <c r="Y96" s="452"/>
      <c r="Z96" s="452"/>
      <c r="AA96" s="452"/>
      <c r="AB96" s="452"/>
      <c r="AC96" s="452"/>
      <c r="AD96" s="452"/>
      <c r="AE96" s="452"/>
      <c r="AF96" s="452"/>
      <c r="AG96" s="452"/>
      <c r="AH96" s="452"/>
      <c r="AI96" s="452"/>
      <c r="AJ96" s="452"/>
      <c r="AK96" s="460">
        <v>5075.6000000000004</v>
      </c>
    </row>
    <row r="97" spans="1:37" hidden="1" x14ac:dyDescent="0.3">
      <c r="A97" s="118"/>
      <c r="B97" s="167" t="s">
        <v>533</v>
      </c>
      <c r="C97" s="119"/>
      <c r="D97" s="119"/>
      <c r="E97" s="119"/>
      <c r="F97" s="119"/>
      <c r="G97" s="120"/>
      <c r="H97" s="120"/>
      <c r="I97" s="120"/>
      <c r="J97" s="120"/>
      <c r="K97" s="120"/>
      <c r="L97" s="120"/>
      <c r="M97" s="120"/>
      <c r="N97" s="120"/>
      <c r="O97" s="120"/>
      <c r="P97" s="120"/>
      <c r="Q97" s="120"/>
      <c r="R97" s="120"/>
      <c r="S97" s="120"/>
      <c r="T97" s="119"/>
      <c r="U97" s="119"/>
      <c r="V97" s="119">
        <v>105.84</v>
      </c>
      <c r="W97" s="119"/>
      <c r="X97" s="119">
        <v>105.84</v>
      </c>
      <c r="Y97" s="119"/>
      <c r="Z97" s="119"/>
      <c r="AA97" s="119"/>
      <c r="AB97" s="119"/>
      <c r="AC97" s="119"/>
      <c r="AD97" s="119"/>
      <c r="AE97" s="119"/>
      <c r="AF97" s="119"/>
      <c r="AG97" s="119"/>
      <c r="AH97" s="119"/>
      <c r="AI97" s="119"/>
      <c r="AJ97" s="119"/>
      <c r="AK97" s="145">
        <v>105.84</v>
      </c>
    </row>
    <row r="98" spans="1:37" hidden="1" x14ac:dyDescent="0.3">
      <c r="A98" s="118"/>
      <c r="B98" s="18" t="s">
        <v>534</v>
      </c>
      <c r="C98" s="119"/>
      <c r="D98" s="119"/>
      <c r="E98" s="119"/>
      <c r="F98" s="119"/>
      <c r="G98" s="120"/>
      <c r="H98" s="120"/>
      <c r="I98" s="120"/>
      <c r="J98" s="120"/>
      <c r="K98" s="120"/>
      <c r="L98" s="120"/>
      <c r="M98" s="120"/>
      <c r="N98" s="120"/>
      <c r="O98" s="120"/>
      <c r="P98" s="120"/>
      <c r="Q98" s="120"/>
      <c r="R98" s="120"/>
      <c r="S98" s="120"/>
      <c r="T98" s="119"/>
      <c r="U98" s="119"/>
      <c r="V98" s="119">
        <v>99.360000000000014</v>
      </c>
      <c r="W98" s="119"/>
      <c r="X98" s="119">
        <v>99.360000000000014</v>
      </c>
      <c r="Y98" s="119"/>
      <c r="Z98" s="119"/>
      <c r="AA98" s="119"/>
      <c r="AB98" s="119"/>
      <c r="AC98" s="119"/>
      <c r="AD98" s="119"/>
      <c r="AE98" s="119"/>
      <c r="AF98" s="119"/>
      <c r="AG98" s="119"/>
      <c r="AH98" s="119"/>
      <c r="AI98" s="119"/>
      <c r="AJ98" s="119"/>
      <c r="AK98" s="145">
        <v>99.360000000000014</v>
      </c>
    </row>
    <row r="99" spans="1:37" hidden="1" x14ac:dyDescent="0.3">
      <c r="A99" s="118"/>
      <c r="B99" s="18" t="s">
        <v>535</v>
      </c>
      <c r="C99" s="119"/>
      <c r="D99" s="119"/>
      <c r="E99" s="119"/>
      <c r="F99" s="119"/>
      <c r="G99" s="120"/>
      <c r="H99" s="120"/>
      <c r="I99" s="120"/>
      <c r="J99" s="120"/>
      <c r="K99" s="120"/>
      <c r="L99" s="120"/>
      <c r="M99" s="120"/>
      <c r="N99" s="120"/>
      <c r="O99" s="120"/>
      <c r="P99" s="120"/>
      <c r="Q99" s="120"/>
      <c r="R99" s="120"/>
      <c r="S99" s="120"/>
      <c r="T99" s="119"/>
      <c r="U99" s="119"/>
      <c r="V99" s="119">
        <v>86.4</v>
      </c>
      <c r="W99" s="119"/>
      <c r="X99" s="119">
        <v>86.4</v>
      </c>
      <c r="Y99" s="119"/>
      <c r="Z99" s="119"/>
      <c r="AA99" s="119"/>
      <c r="AB99" s="119"/>
      <c r="AC99" s="119"/>
      <c r="AD99" s="119"/>
      <c r="AE99" s="119"/>
      <c r="AF99" s="119"/>
      <c r="AG99" s="119"/>
      <c r="AH99" s="119"/>
      <c r="AI99" s="119"/>
      <c r="AJ99" s="119"/>
      <c r="AK99" s="145">
        <v>86.4</v>
      </c>
    </row>
    <row r="100" spans="1:37" hidden="1" x14ac:dyDescent="0.3">
      <c r="A100" s="118"/>
      <c r="B100" s="18" t="s">
        <v>536</v>
      </c>
      <c r="C100" s="119"/>
      <c r="D100" s="119"/>
      <c r="E100" s="119"/>
      <c r="F100" s="119"/>
      <c r="G100" s="120"/>
      <c r="H100" s="120"/>
      <c r="I100" s="120"/>
      <c r="J100" s="120"/>
      <c r="K100" s="120"/>
      <c r="L100" s="120"/>
      <c r="M100" s="120"/>
      <c r="N100" s="120"/>
      <c r="O100" s="120"/>
      <c r="P100" s="120"/>
      <c r="Q100" s="120"/>
      <c r="R100" s="120"/>
      <c r="S100" s="120"/>
      <c r="T100" s="119"/>
      <c r="U100" s="119"/>
      <c r="V100" s="119">
        <v>144</v>
      </c>
      <c r="W100" s="119"/>
      <c r="X100" s="119">
        <v>144</v>
      </c>
      <c r="Y100" s="119"/>
      <c r="Z100" s="119"/>
      <c r="AA100" s="119"/>
      <c r="AB100" s="119"/>
      <c r="AC100" s="119"/>
      <c r="AD100" s="119"/>
      <c r="AE100" s="119"/>
      <c r="AF100" s="119"/>
      <c r="AG100" s="119"/>
      <c r="AH100" s="119"/>
      <c r="AI100" s="119"/>
      <c r="AJ100" s="119"/>
      <c r="AK100" s="145">
        <v>144</v>
      </c>
    </row>
    <row r="101" spans="1:37" ht="31.2" hidden="1" x14ac:dyDescent="0.3">
      <c r="A101" s="118"/>
      <c r="B101" s="167" t="s">
        <v>578</v>
      </c>
      <c r="C101" s="119"/>
      <c r="D101" s="119"/>
      <c r="E101" s="119"/>
      <c r="F101" s="119"/>
      <c r="G101" s="120"/>
      <c r="H101" s="120"/>
      <c r="I101" s="120"/>
      <c r="J101" s="120"/>
      <c r="K101" s="120"/>
      <c r="L101" s="120"/>
      <c r="M101" s="120"/>
      <c r="N101" s="120"/>
      <c r="O101" s="120"/>
      <c r="P101" s="120"/>
      <c r="Q101" s="120"/>
      <c r="R101" s="120"/>
      <c r="S101" s="120"/>
      <c r="T101" s="119"/>
      <c r="U101" s="119"/>
      <c r="V101" s="119">
        <v>220</v>
      </c>
      <c r="W101" s="119"/>
      <c r="X101" s="119">
        <v>220</v>
      </c>
      <c r="Y101" s="119"/>
      <c r="Z101" s="119"/>
      <c r="AA101" s="119"/>
      <c r="AB101" s="119"/>
      <c r="AC101" s="119"/>
      <c r="AD101" s="119"/>
      <c r="AE101" s="119"/>
      <c r="AF101" s="119"/>
      <c r="AG101" s="119"/>
      <c r="AH101" s="119"/>
      <c r="AI101" s="119"/>
      <c r="AJ101" s="119"/>
      <c r="AK101" s="145">
        <v>220</v>
      </c>
    </row>
    <row r="102" spans="1:37" hidden="1" x14ac:dyDescent="0.3">
      <c r="A102" s="118"/>
      <c r="B102" s="18" t="s">
        <v>509</v>
      </c>
      <c r="C102" s="119"/>
      <c r="D102" s="119"/>
      <c r="E102" s="119"/>
      <c r="F102" s="119"/>
      <c r="G102" s="120"/>
      <c r="H102" s="120"/>
      <c r="I102" s="120"/>
      <c r="J102" s="120"/>
      <c r="K102" s="120"/>
      <c r="L102" s="120"/>
      <c r="M102" s="120"/>
      <c r="N102" s="120"/>
      <c r="O102" s="120"/>
      <c r="P102" s="120"/>
      <c r="Q102" s="120"/>
      <c r="R102" s="120"/>
      <c r="S102" s="120"/>
      <c r="T102" s="119"/>
      <c r="U102" s="119"/>
      <c r="V102" s="119">
        <v>720</v>
      </c>
      <c r="W102" s="119"/>
      <c r="X102" s="119">
        <v>720</v>
      </c>
      <c r="Y102" s="119"/>
      <c r="Z102" s="119"/>
      <c r="AA102" s="119"/>
      <c r="AB102" s="119"/>
      <c r="AC102" s="119"/>
      <c r="AD102" s="119"/>
      <c r="AE102" s="119"/>
      <c r="AF102" s="119"/>
      <c r="AG102" s="119"/>
      <c r="AH102" s="119"/>
      <c r="AI102" s="119"/>
      <c r="AJ102" s="119"/>
      <c r="AK102" s="145">
        <v>720</v>
      </c>
    </row>
    <row r="103" spans="1:37" hidden="1" x14ac:dyDescent="0.3">
      <c r="A103" s="118"/>
      <c r="B103" s="18" t="s">
        <v>537</v>
      </c>
      <c r="C103" s="119"/>
      <c r="D103" s="119"/>
      <c r="E103" s="119"/>
      <c r="F103" s="119"/>
      <c r="G103" s="120"/>
      <c r="H103" s="120"/>
      <c r="I103" s="120"/>
      <c r="J103" s="120"/>
      <c r="K103" s="120"/>
      <c r="L103" s="120"/>
      <c r="M103" s="120"/>
      <c r="N103" s="120"/>
      <c r="O103" s="120"/>
      <c r="P103" s="120"/>
      <c r="Q103" s="120"/>
      <c r="R103" s="120"/>
      <c r="S103" s="120"/>
      <c r="T103" s="119"/>
      <c r="U103" s="119"/>
      <c r="V103" s="119">
        <v>150</v>
      </c>
      <c r="W103" s="119"/>
      <c r="X103" s="119">
        <v>150</v>
      </c>
      <c r="Y103" s="119"/>
      <c r="Z103" s="119"/>
      <c r="AA103" s="119"/>
      <c r="AB103" s="119"/>
      <c r="AC103" s="119"/>
      <c r="AD103" s="119"/>
      <c r="AE103" s="119"/>
      <c r="AF103" s="119"/>
      <c r="AG103" s="119"/>
      <c r="AH103" s="119"/>
      <c r="AI103" s="119"/>
      <c r="AJ103" s="119"/>
      <c r="AK103" s="145">
        <v>150</v>
      </c>
    </row>
    <row r="104" spans="1:37" hidden="1" x14ac:dyDescent="0.3">
      <c r="A104" s="118"/>
      <c r="B104" s="18" t="s">
        <v>538</v>
      </c>
      <c r="C104" s="119"/>
      <c r="D104" s="119"/>
      <c r="E104" s="119"/>
      <c r="F104" s="119"/>
      <c r="G104" s="120"/>
      <c r="H104" s="120"/>
      <c r="I104" s="120"/>
      <c r="J104" s="120"/>
      <c r="K104" s="120"/>
      <c r="L104" s="120"/>
      <c r="M104" s="120"/>
      <c r="N104" s="120"/>
      <c r="O104" s="120"/>
      <c r="P104" s="120"/>
      <c r="Q104" s="120"/>
      <c r="R104" s="120"/>
      <c r="S104" s="120"/>
      <c r="T104" s="119"/>
      <c r="U104" s="119"/>
      <c r="V104" s="119">
        <v>45</v>
      </c>
      <c r="W104" s="119"/>
      <c r="X104" s="119">
        <v>45</v>
      </c>
      <c r="Y104" s="119"/>
      <c r="Z104" s="119"/>
      <c r="AA104" s="119"/>
      <c r="AB104" s="119"/>
      <c r="AC104" s="119"/>
      <c r="AD104" s="119"/>
      <c r="AE104" s="119"/>
      <c r="AF104" s="119"/>
      <c r="AG104" s="119"/>
      <c r="AH104" s="119"/>
      <c r="AI104" s="119"/>
      <c r="AJ104" s="119"/>
      <c r="AK104" s="145">
        <v>45</v>
      </c>
    </row>
    <row r="105" spans="1:37" ht="46.8" hidden="1" x14ac:dyDescent="0.3">
      <c r="A105" s="118"/>
      <c r="B105" s="167" t="s">
        <v>575</v>
      </c>
      <c r="C105" s="119"/>
      <c r="D105" s="119"/>
      <c r="E105" s="119"/>
      <c r="F105" s="119"/>
      <c r="G105" s="120"/>
      <c r="H105" s="120"/>
      <c r="I105" s="120"/>
      <c r="J105" s="120"/>
      <c r="K105" s="120"/>
      <c r="L105" s="120"/>
      <c r="M105" s="120"/>
      <c r="N105" s="120"/>
      <c r="O105" s="120"/>
      <c r="P105" s="120"/>
      <c r="Q105" s="120"/>
      <c r="R105" s="120"/>
      <c r="S105" s="120"/>
      <c r="T105" s="119"/>
      <c r="U105" s="119"/>
      <c r="V105" s="119">
        <v>1599</v>
      </c>
      <c r="W105" s="119"/>
      <c r="X105" s="119">
        <v>1599</v>
      </c>
      <c r="Y105" s="119"/>
      <c r="Z105" s="119"/>
      <c r="AA105" s="119"/>
      <c r="AB105" s="119"/>
      <c r="AC105" s="119"/>
      <c r="AD105" s="119"/>
      <c r="AE105" s="119"/>
      <c r="AF105" s="119"/>
      <c r="AG105" s="119"/>
      <c r="AH105" s="119"/>
      <c r="AI105" s="119"/>
      <c r="AJ105" s="119"/>
      <c r="AK105" s="145">
        <v>1599</v>
      </c>
    </row>
    <row r="106" spans="1:37" hidden="1" x14ac:dyDescent="0.3">
      <c r="A106" s="118"/>
      <c r="B106" s="18" t="s">
        <v>539</v>
      </c>
      <c r="C106" s="119"/>
      <c r="D106" s="119"/>
      <c r="E106" s="119"/>
      <c r="F106" s="119"/>
      <c r="G106" s="120"/>
      <c r="H106" s="120"/>
      <c r="I106" s="120"/>
      <c r="J106" s="120"/>
      <c r="K106" s="120"/>
      <c r="L106" s="120"/>
      <c r="M106" s="120"/>
      <c r="N106" s="120"/>
      <c r="O106" s="120"/>
      <c r="P106" s="120"/>
      <c r="Q106" s="120"/>
      <c r="R106" s="120"/>
      <c r="S106" s="120"/>
      <c r="T106" s="119"/>
      <c r="U106" s="119"/>
      <c r="V106" s="119">
        <v>32</v>
      </c>
      <c r="W106" s="119"/>
      <c r="X106" s="119">
        <v>32</v>
      </c>
      <c r="Y106" s="119"/>
      <c r="Z106" s="119"/>
      <c r="AA106" s="119"/>
      <c r="AB106" s="119"/>
      <c r="AC106" s="119"/>
      <c r="AD106" s="119"/>
      <c r="AE106" s="119"/>
      <c r="AF106" s="119"/>
      <c r="AG106" s="119"/>
      <c r="AH106" s="119"/>
      <c r="AI106" s="119"/>
      <c r="AJ106" s="119"/>
      <c r="AK106" s="145">
        <v>32</v>
      </c>
    </row>
    <row r="107" spans="1:37" ht="31.2" hidden="1" x14ac:dyDescent="0.3">
      <c r="A107" s="118"/>
      <c r="B107" s="167" t="s">
        <v>540</v>
      </c>
      <c r="C107" s="119"/>
      <c r="D107" s="119"/>
      <c r="E107" s="119"/>
      <c r="F107" s="119"/>
      <c r="G107" s="120"/>
      <c r="H107" s="120"/>
      <c r="I107" s="120"/>
      <c r="J107" s="120"/>
      <c r="K107" s="120"/>
      <c r="L107" s="120"/>
      <c r="M107" s="120"/>
      <c r="N107" s="120"/>
      <c r="O107" s="120"/>
      <c r="P107" s="120"/>
      <c r="Q107" s="120"/>
      <c r="R107" s="120"/>
      <c r="S107" s="120"/>
      <c r="T107" s="119"/>
      <c r="U107" s="119"/>
      <c r="V107" s="119">
        <v>170</v>
      </c>
      <c r="W107" s="119"/>
      <c r="X107" s="119">
        <v>170</v>
      </c>
      <c r="Y107" s="119"/>
      <c r="Z107" s="119"/>
      <c r="AA107" s="119"/>
      <c r="AB107" s="119"/>
      <c r="AC107" s="119"/>
      <c r="AD107" s="119"/>
      <c r="AE107" s="119"/>
      <c r="AF107" s="119"/>
      <c r="AG107" s="119"/>
      <c r="AH107" s="119"/>
      <c r="AI107" s="119"/>
      <c r="AJ107" s="119"/>
      <c r="AK107" s="145">
        <v>170</v>
      </c>
    </row>
    <row r="108" spans="1:37" ht="31.2" hidden="1" x14ac:dyDescent="0.3">
      <c r="A108" s="118"/>
      <c r="B108" s="167" t="s">
        <v>541</v>
      </c>
      <c r="C108" s="119"/>
      <c r="D108" s="119"/>
      <c r="E108" s="119"/>
      <c r="F108" s="119"/>
      <c r="G108" s="120"/>
      <c r="H108" s="120"/>
      <c r="I108" s="120"/>
      <c r="J108" s="120"/>
      <c r="K108" s="120"/>
      <c r="L108" s="120"/>
      <c r="M108" s="120"/>
      <c r="N108" s="120"/>
      <c r="O108" s="120"/>
      <c r="P108" s="120"/>
      <c r="Q108" s="120"/>
      <c r="R108" s="120"/>
      <c r="S108" s="120"/>
      <c r="T108" s="119"/>
      <c r="U108" s="119"/>
      <c r="V108" s="119">
        <v>100</v>
      </c>
      <c r="W108" s="119"/>
      <c r="X108" s="119">
        <v>100</v>
      </c>
      <c r="Y108" s="119"/>
      <c r="Z108" s="119"/>
      <c r="AA108" s="119"/>
      <c r="AB108" s="119"/>
      <c r="AC108" s="119"/>
      <c r="AD108" s="119"/>
      <c r="AE108" s="119"/>
      <c r="AF108" s="119"/>
      <c r="AG108" s="119"/>
      <c r="AH108" s="119"/>
      <c r="AI108" s="119"/>
      <c r="AJ108" s="119"/>
      <c r="AK108" s="145">
        <v>100</v>
      </c>
    </row>
    <row r="109" spans="1:37" ht="31.2" hidden="1" x14ac:dyDescent="0.3">
      <c r="A109" s="118"/>
      <c r="B109" s="167" t="s">
        <v>542</v>
      </c>
      <c r="C109" s="119"/>
      <c r="D109" s="119"/>
      <c r="E109" s="119"/>
      <c r="F109" s="119"/>
      <c r="G109" s="120"/>
      <c r="H109" s="120"/>
      <c r="I109" s="120"/>
      <c r="J109" s="120"/>
      <c r="K109" s="120"/>
      <c r="L109" s="120"/>
      <c r="M109" s="120"/>
      <c r="N109" s="120"/>
      <c r="O109" s="120"/>
      <c r="P109" s="120"/>
      <c r="Q109" s="120"/>
      <c r="R109" s="120"/>
      <c r="S109" s="120"/>
      <c r="T109" s="119"/>
      <c r="U109" s="119"/>
      <c r="V109" s="119">
        <v>80</v>
      </c>
      <c r="W109" s="119"/>
      <c r="X109" s="119">
        <v>80</v>
      </c>
      <c r="Y109" s="119"/>
      <c r="Z109" s="119"/>
      <c r="AA109" s="119"/>
      <c r="AB109" s="119"/>
      <c r="AC109" s="119"/>
      <c r="AD109" s="119"/>
      <c r="AE109" s="119"/>
      <c r="AF109" s="119"/>
      <c r="AG109" s="119"/>
      <c r="AH109" s="119"/>
      <c r="AI109" s="119"/>
      <c r="AJ109" s="119"/>
      <c r="AK109" s="145">
        <v>80</v>
      </c>
    </row>
    <row r="110" spans="1:37" hidden="1" x14ac:dyDescent="0.3">
      <c r="A110" s="118"/>
      <c r="B110" s="167" t="s">
        <v>543</v>
      </c>
      <c r="C110" s="119"/>
      <c r="D110" s="119"/>
      <c r="E110" s="119"/>
      <c r="F110" s="119"/>
      <c r="G110" s="120"/>
      <c r="H110" s="120"/>
      <c r="I110" s="120"/>
      <c r="J110" s="120"/>
      <c r="K110" s="120"/>
      <c r="L110" s="120"/>
      <c r="M110" s="120"/>
      <c r="N110" s="120"/>
      <c r="O110" s="120"/>
      <c r="P110" s="120"/>
      <c r="Q110" s="120"/>
      <c r="R110" s="120"/>
      <c r="S110" s="120"/>
      <c r="T110" s="119"/>
      <c r="U110" s="119"/>
      <c r="V110" s="119">
        <v>55</v>
      </c>
      <c r="W110" s="119"/>
      <c r="X110" s="119">
        <v>55</v>
      </c>
      <c r="Y110" s="119"/>
      <c r="Z110" s="119"/>
      <c r="AA110" s="119"/>
      <c r="AB110" s="119"/>
      <c r="AC110" s="119"/>
      <c r="AD110" s="119"/>
      <c r="AE110" s="119"/>
      <c r="AF110" s="119"/>
      <c r="AG110" s="119"/>
      <c r="AH110" s="119"/>
      <c r="AI110" s="119"/>
      <c r="AJ110" s="119"/>
      <c r="AK110" s="145">
        <v>55</v>
      </c>
    </row>
    <row r="111" spans="1:37" hidden="1" x14ac:dyDescent="0.3">
      <c r="A111" s="118"/>
      <c r="B111" s="167" t="s">
        <v>547</v>
      </c>
      <c r="C111" s="119"/>
      <c r="D111" s="119"/>
      <c r="E111" s="119"/>
      <c r="F111" s="119"/>
      <c r="G111" s="120"/>
      <c r="H111" s="120"/>
      <c r="I111" s="120"/>
      <c r="J111" s="120"/>
      <c r="K111" s="120"/>
      <c r="L111" s="120"/>
      <c r="M111" s="120"/>
      <c r="N111" s="120"/>
      <c r="O111" s="120"/>
      <c r="P111" s="120"/>
      <c r="Q111" s="120"/>
      <c r="R111" s="120"/>
      <c r="S111" s="120"/>
      <c r="T111" s="119"/>
      <c r="U111" s="119"/>
      <c r="V111" s="119">
        <v>170</v>
      </c>
      <c r="W111" s="119"/>
      <c r="X111" s="119">
        <v>170</v>
      </c>
      <c r="Y111" s="119"/>
      <c r="Z111" s="119"/>
      <c r="AA111" s="119"/>
      <c r="AB111" s="119"/>
      <c r="AC111" s="119"/>
      <c r="AD111" s="119"/>
      <c r="AE111" s="119"/>
      <c r="AF111" s="119"/>
      <c r="AG111" s="119"/>
      <c r="AH111" s="119"/>
      <c r="AI111" s="119"/>
      <c r="AJ111" s="119"/>
      <c r="AK111" s="145">
        <v>170</v>
      </c>
    </row>
    <row r="112" spans="1:37" hidden="1" x14ac:dyDescent="0.3">
      <c r="A112" s="118"/>
      <c r="B112" s="167" t="s">
        <v>510</v>
      </c>
      <c r="C112" s="119"/>
      <c r="D112" s="119"/>
      <c r="E112" s="119"/>
      <c r="F112" s="119"/>
      <c r="G112" s="120"/>
      <c r="H112" s="120"/>
      <c r="I112" s="120"/>
      <c r="J112" s="120"/>
      <c r="K112" s="120"/>
      <c r="L112" s="120"/>
      <c r="M112" s="120"/>
      <c r="N112" s="120"/>
      <c r="O112" s="120"/>
      <c r="P112" s="120"/>
      <c r="Q112" s="120"/>
      <c r="R112" s="120"/>
      <c r="S112" s="120"/>
      <c r="T112" s="119"/>
      <c r="U112" s="119"/>
      <c r="V112" s="119">
        <v>24</v>
      </c>
      <c r="W112" s="119"/>
      <c r="X112" s="119">
        <v>24</v>
      </c>
      <c r="Y112" s="119"/>
      <c r="Z112" s="119"/>
      <c r="AA112" s="119"/>
      <c r="AB112" s="119"/>
      <c r="AC112" s="119"/>
      <c r="AD112" s="119"/>
      <c r="AE112" s="119"/>
      <c r="AF112" s="119"/>
      <c r="AG112" s="119"/>
      <c r="AH112" s="119"/>
      <c r="AI112" s="119"/>
      <c r="AJ112" s="119"/>
      <c r="AK112" s="145">
        <v>24</v>
      </c>
    </row>
    <row r="113" spans="1:37" hidden="1" x14ac:dyDescent="0.3">
      <c r="A113" s="118"/>
      <c r="B113" s="167" t="s">
        <v>544</v>
      </c>
      <c r="C113" s="119"/>
      <c r="D113" s="119"/>
      <c r="E113" s="119"/>
      <c r="F113" s="119"/>
      <c r="G113" s="120"/>
      <c r="H113" s="120"/>
      <c r="I113" s="120"/>
      <c r="J113" s="120"/>
      <c r="K113" s="120"/>
      <c r="L113" s="120"/>
      <c r="M113" s="120"/>
      <c r="N113" s="120"/>
      <c r="O113" s="120"/>
      <c r="P113" s="120"/>
      <c r="Q113" s="120"/>
      <c r="R113" s="120"/>
      <c r="S113" s="120"/>
      <c r="T113" s="119"/>
      <c r="U113" s="119"/>
      <c r="V113" s="119">
        <v>50</v>
      </c>
      <c r="W113" s="119"/>
      <c r="X113" s="119">
        <v>50</v>
      </c>
      <c r="Y113" s="119"/>
      <c r="Z113" s="119"/>
      <c r="AA113" s="119"/>
      <c r="AB113" s="119"/>
      <c r="AC113" s="119"/>
      <c r="AD113" s="119"/>
      <c r="AE113" s="119"/>
      <c r="AF113" s="119"/>
      <c r="AG113" s="119"/>
      <c r="AH113" s="119"/>
      <c r="AI113" s="119"/>
      <c r="AJ113" s="119"/>
      <c r="AK113" s="145">
        <v>50</v>
      </c>
    </row>
    <row r="114" spans="1:37" hidden="1" x14ac:dyDescent="0.3">
      <c r="A114" s="118"/>
      <c r="B114" s="167" t="s">
        <v>545</v>
      </c>
      <c r="C114" s="119"/>
      <c r="D114" s="119"/>
      <c r="E114" s="119"/>
      <c r="F114" s="119"/>
      <c r="G114" s="120"/>
      <c r="H114" s="120"/>
      <c r="I114" s="120"/>
      <c r="J114" s="120"/>
      <c r="K114" s="120"/>
      <c r="L114" s="120"/>
      <c r="M114" s="120"/>
      <c r="N114" s="120"/>
      <c r="O114" s="120"/>
      <c r="P114" s="120"/>
      <c r="Q114" s="120"/>
      <c r="R114" s="120"/>
      <c r="S114" s="120"/>
      <c r="T114" s="119"/>
      <c r="U114" s="119"/>
      <c r="V114" s="119">
        <v>8</v>
      </c>
      <c r="W114" s="119"/>
      <c r="X114" s="119">
        <v>8</v>
      </c>
      <c r="Y114" s="119"/>
      <c r="Z114" s="119"/>
      <c r="AA114" s="119"/>
      <c r="AB114" s="119"/>
      <c r="AC114" s="119"/>
      <c r="AD114" s="119"/>
      <c r="AE114" s="119"/>
      <c r="AF114" s="119"/>
      <c r="AG114" s="119"/>
      <c r="AH114" s="119"/>
      <c r="AI114" s="119"/>
      <c r="AJ114" s="119"/>
      <c r="AK114" s="145">
        <v>8</v>
      </c>
    </row>
    <row r="115" spans="1:37" ht="31.2" hidden="1" x14ac:dyDescent="0.3">
      <c r="A115" s="118"/>
      <c r="B115" s="167" t="s">
        <v>546</v>
      </c>
      <c r="C115" s="119"/>
      <c r="D115" s="119"/>
      <c r="E115" s="119"/>
      <c r="F115" s="119"/>
      <c r="G115" s="120"/>
      <c r="H115" s="120"/>
      <c r="I115" s="120"/>
      <c r="J115" s="120"/>
      <c r="K115" s="120"/>
      <c r="L115" s="120"/>
      <c r="M115" s="120"/>
      <c r="N115" s="120"/>
      <c r="O115" s="120"/>
      <c r="P115" s="120"/>
      <c r="Q115" s="120"/>
      <c r="R115" s="120"/>
      <c r="S115" s="120"/>
      <c r="T115" s="119"/>
      <c r="U115" s="119"/>
      <c r="V115" s="119">
        <v>217</v>
      </c>
      <c r="W115" s="119"/>
      <c r="X115" s="119">
        <v>217</v>
      </c>
      <c r="Y115" s="119"/>
      <c r="Z115" s="119"/>
      <c r="AA115" s="119"/>
      <c r="AB115" s="119"/>
      <c r="AC115" s="119"/>
      <c r="AD115" s="119"/>
      <c r="AE115" s="119"/>
      <c r="AF115" s="119"/>
      <c r="AG115" s="119"/>
      <c r="AH115" s="119"/>
      <c r="AI115" s="119"/>
      <c r="AJ115" s="119"/>
      <c r="AK115" s="145">
        <v>217</v>
      </c>
    </row>
    <row r="116" spans="1:37" ht="46.8" hidden="1" x14ac:dyDescent="0.3">
      <c r="A116" s="118"/>
      <c r="B116" s="167" t="s">
        <v>511</v>
      </c>
      <c r="C116" s="119"/>
      <c r="D116" s="119"/>
      <c r="E116" s="119"/>
      <c r="F116" s="119"/>
      <c r="G116" s="120"/>
      <c r="H116" s="120"/>
      <c r="I116" s="120"/>
      <c r="J116" s="120"/>
      <c r="K116" s="120"/>
      <c r="L116" s="120"/>
      <c r="M116" s="120"/>
      <c r="N116" s="120"/>
      <c r="O116" s="120"/>
      <c r="P116" s="120"/>
      <c r="Q116" s="120"/>
      <c r="R116" s="120"/>
      <c r="S116" s="120"/>
      <c r="T116" s="119"/>
      <c r="U116" s="119"/>
      <c r="V116" s="119">
        <v>1000</v>
      </c>
      <c r="W116" s="119"/>
      <c r="X116" s="119">
        <v>1000</v>
      </c>
      <c r="Y116" s="119"/>
      <c r="Z116" s="119"/>
      <c r="AA116" s="119"/>
      <c r="AB116" s="119"/>
      <c r="AC116" s="119"/>
      <c r="AD116" s="119"/>
      <c r="AE116" s="119"/>
      <c r="AF116" s="119"/>
      <c r="AG116" s="119"/>
      <c r="AH116" s="119"/>
      <c r="AI116" s="119"/>
      <c r="AJ116" s="119"/>
      <c r="AK116" s="145">
        <v>1000</v>
      </c>
    </row>
    <row r="117" spans="1:37" ht="15.75" hidden="1" customHeight="1" x14ac:dyDescent="0.3">
      <c r="A117" s="118"/>
      <c r="B117" s="18"/>
      <c r="C117" s="119"/>
      <c r="D117" s="119"/>
      <c r="E117" s="119"/>
      <c r="F117" s="119"/>
      <c r="G117" s="120"/>
      <c r="H117" s="120"/>
      <c r="I117" s="120"/>
      <c r="J117" s="120"/>
      <c r="K117" s="120"/>
      <c r="L117" s="120"/>
      <c r="M117" s="120"/>
      <c r="N117" s="120"/>
      <c r="O117" s="120"/>
      <c r="P117" s="120"/>
      <c r="Q117" s="120"/>
      <c r="R117" s="120"/>
      <c r="S117" s="120"/>
      <c r="T117" s="119"/>
      <c r="U117" s="119"/>
      <c r="V117" s="119"/>
      <c r="W117" s="119"/>
      <c r="X117" s="93"/>
      <c r="Y117" s="119"/>
      <c r="Z117" s="119"/>
      <c r="AA117" s="119"/>
      <c r="AB117" s="119"/>
      <c r="AC117" s="119"/>
      <c r="AD117" s="119"/>
      <c r="AE117" s="119"/>
      <c r="AF117" s="119"/>
      <c r="AG117" s="119"/>
      <c r="AH117" s="119"/>
      <c r="AI117" s="119"/>
      <c r="AJ117" s="119"/>
      <c r="AK117" s="145">
        <v>0</v>
      </c>
    </row>
    <row r="118" spans="1:37" ht="15.75" hidden="1" customHeight="1" x14ac:dyDescent="0.3">
      <c r="A118" s="118"/>
      <c r="B118" s="167"/>
      <c r="C118" s="119"/>
      <c r="D118" s="119"/>
      <c r="E118" s="119"/>
      <c r="F118" s="119"/>
      <c r="G118" s="120"/>
      <c r="H118" s="120"/>
      <c r="I118" s="120"/>
      <c r="J118" s="120"/>
      <c r="K118" s="120"/>
      <c r="L118" s="120"/>
      <c r="M118" s="120"/>
      <c r="N118" s="120"/>
      <c r="O118" s="120"/>
      <c r="P118" s="120"/>
      <c r="Q118" s="120"/>
      <c r="R118" s="120"/>
      <c r="S118" s="120"/>
      <c r="T118" s="119"/>
      <c r="U118" s="119"/>
      <c r="V118" s="119"/>
      <c r="W118" s="119"/>
      <c r="X118" s="93"/>
      <c r="Y118" s="119"/>
      <c r="Z118" s="119"/>
      <c r="AA118" s="119"/>
      <c r="AB118" s="119"/>
      <c r="AC118" s="119"/>
      <c r="AD118" s="119"/>
      <c r="AE118" s="119"/>
      <c r="AF118" s="119"/>
      <c r="AG118" s="119"/>
      <c r="AH118" s="119"/>
      <c r="AI118" s="119"/>
      <c r="AJ118" s="119"/>
      <c r="AK118" s="145">
        <v>0</v>
      </c>
    </row>
    <row r="119" spans="1:37" ht="15.75" hidden="1" customHeight="1" x14ac:dyDescent="0.3">
      <c r="A119" s="118"/>
      <c r="B119" s="167"/>
      <c r="C119" s="119"/>
      <c r="D119" s="119"/>
      <c r="E119" s="119"/>
      <c r="F119" s="119"/>
      <c r="G119" s="120"/>
      <c r="H119" s="120"/>
      <c r="I119" s="120"/>
      <c r="J119" s="120"/>
      <c r="K119" s="120"/>
      <c r="L119" s="120"/>
      <c r="M119" s="120"/>
      <c r="N119" s="120"/>
      <c r="O119" s="120"/>
      <c r="P119" s="120"/>
      <c r="Q119" s="120"/>
      <c r="R119" s="120"/>
      <c r="S119" s="120"/>
      <c r="T119" s="119"/>
      <c r="U119" s="119"/>
      <c r="V119" s="119"/>
      <c r="W119" s="119"/>
      <c r="X119" s="93"/>
      <c r="Y119" s="119"/>
      <c r="Z119" s="119"/>
      <c r="AA119" s="119"/>
      <c r="AB119" s="119"/>
      <c r="AC119" s="119"/>
      <c r="AD119" s="119"/>
      <c r="AE119" s="119"/>
      <c r="AF119" s="119"/>
      <c r="AG119" s="119"/>
      <c r="AH119" s="119"/>
      <c r="AI119" s="119"/>
      <c r="AJ119" s="119"/>
      <c r="AK119" s="145">
        <v>0</v>
      </c>
    </row>
    <row r="120" spans="1:37" ht="15.75" hidden="1" customHeight="1" x14ac:dyDescent="0.3">
      <c r="A120" s="118"/>
      <c r="B120" s="18"/>
      <c r="C120" s="119"/>
      <c r="D120" s="119"/>
      <c r="E120" s="119"/>
      <c r="F120" s="119"/>
      <c r="G120" s="120"/>
      <c r="H120" s="120"/>
      <c r="I120" s="120"/>
      <c r="J120" s="120"/>
      <c r="K120" s="120"/>
      <c r="L120" s="120"/>
      <c r="M120" s="120"/>
      <c r="N120" s="120"/>
      <c r="O120" s="120"/>
      <c r="P120" s="120"/>
      <c r="Q120" s="120"/>
      <c r="R120" s="120"/>
      <c r="S120" s="120"/>
      <c r="T120" s="119"/>
      <c r="U120" s="119"/>
      <c r="V120" s="119"/>
      <c r="W120" s="119"/>
      <c r="X120" s="93"/>
      <c r="Y120" s="119"/>
      <c r="Z120" s="119"/>
      <c r="AA120" s="119"/>
      <c r="AB120" s="119"/>
      <c r="AC120" s="119"/>
      <c r="AD120" s="119"/>
      <c r="AE120" s="119"/>
      <c r="AF120" s="119"/>
      <c r="AG120" s="119"/>
      <c r="AH120" s="119"/>
      <c r="AI120" s="119"/>
      <c r="AJ120" s="119"/>
      <c r="AK120" s="145">
        <v>0</v>
      </c>
    </row>
    <row r="121" spans="1:37" ht="15.75" hidden="1" customHeight="1" x14ac:dyDescent="0.3">
      <c r="A121" s="118"/>
      <c r="B121" s="167"/>
      <c r="C121" s="119"/>
      <c r="D121" s="119"/>
      <c r="E121" s="119"/>
      <c r="F121" s="119"/>
      <c r="G121" s="120"/>
      <c r="H121" s="120"/>
      <c r="I121" s="120"/>
      <c r="J121" s="120"/>
      <c r="K121" s="120"/>
      <c r="L121" s="120"/>
      <c r="M121" s="120"/>
      <c r="N121" s="120"/>
      <c r="O121" s="120"/>
      <c r="P121" s="120"/>
      <c r="Q121" s="120"/>
      <c r="R121" s="120"/>
      <c r="S121" s="120"/>
      <c r="T121" s="119"/>
      <c r="U121" s="119"/>
      <c r="V121" s="119"/>
      <c r="W121" s="119"/>
      <c r="X121" s="93"/>
      <c r="Y121" s="119"/>
      <c r="Z121" s="119"/>
      <c r="AA121" s="119"/>
      <c r="AB121" s="119"/>
      <c r="AC121" s="119"/>
      <c r="AD121" s="119"/>
      <c r="AE121" s="119"/>
      <c r="AF121" s="119"/>
      <c r="AG121" s="119"/>
      <c r="AH121" s="119"/>
      <c r="AI121" s="119"/>
      <c r="AJ121" s="119"/>
      <c r="AK121" s="145">
        <v>0</v>
      </c>
    </row>
    <row r="122" spans="1:37" ht="15.75" hidden="1" customHeight="1" x14ac:dyDescent="0.3">
      <c r="A122" s="118"/>
      <c r="B122" s="18"/>
      <c r="C122" s="119"/>
      <c r="D122" s="119"/>
      <c r="E122" s="119"/>
      <c r="F122" s="119"/>
      <c r="G122" s="120"/>
      <c r="H122" s="120"/>
      <c r="I122" s="120"/>
      <c r="J122" s="120"/>
      <c r="K122" s="120"/>
      <c r="L122" s="120"/>
      <c r="M122" s="120"/>
      <c r="N122" s="120"/>
      <c r="O122" s="120"/>
      <c r="P122" s="120"/>
      <c r="Q122" s="120"/>
      <c r="R122" s="120"/>
      <c r="S122" s="120"/>
      <c r="T122" s="119"/>
      <c r="U122" s="119"/>
      <c r="V122" s="119"/>
      <c r="W122" s="119"/>
      <c r="X122" s="93"/>
      <c r="Y122" s="119"/>
      <c r="Z122" s="119"/>
      <c r="AA122" s="119"/>
      <c r="AB122" s="119"/>
      <c r="AC122" s="119"/>
      <c r="AD122" s="119"/>
      <c r="AE122" s="119"/>
      <c r="AF122" s="119"/>
      <c r="AG122" s="119"/>
      <c r="AH122" s="119"/>
      <c r="AI122" s="119"/>
      <c r="AJ122" s="119"/>
      <c r="AK122" s="145">
        <v>0</v>
      </c>
    </row>
    <row r="123" spans="1:37" ht="15.75" hidden="1" customHeight="1" x14ac:dyDescent="0.3">
      <c r="A123" s="118"/>
      <c r="B123" s="18"/>
      <c r="C123" s="119"/>
      <c r="D123" s="119"/>
      <c r="E123" s="119"/>
      <c r="F123" s="119"/>
      <c r="G123" s="120"/>
      <c r="H123" s="120"/>
      <c r="I123" s="120"/>
      <c r="J123" s="120"/>
      <c r="K123" s="120"/>
      <c r="L123" s="120"/>
      <c r="M123" s="120"/>
      <c r="N123" s="120"/>
      <c r="O123" s="120"/>
      <c r="P123" s="120"/>
      <c r="Q123" s="120"/>
      <c r="R123" s="120"/>
      <c r="S123" s="120"/>
      <c r="T123" s="119"/>
      <c r="U123" s="119"/>
      <c r="V123" s="119"/>
      <c r="W123" s="119"/>
      <c r="X123" s="93"/>
      <c r="Y123" s="119"/>
      <c r="Z123" s="119"/>
      <c r="AA123" s="119"/>
      <c r="AB123" s="119"/>
      <c r="AC123" s="119"/>
      <c r="AD123" s="119"/>
      <c r="AE123" s="119"/>
      <c r="AF123" s="119"/>
      <c r="AG123" s="119"/>
      <c r="AH123" s="119"/>
      <c r="AI123" s="119"/>
      <c r="AJ123" s="119"/>
      <c r="AK123" s="145">
        <v>0</v>
      </c>
    </row>
    <row r="124" spans="1:37" ht="15.75" hidden="1" customHeight="1" x14ac:dyDescent="0.3">
      <c r="A124" s="118"/>
      <c r="B124" s="18"/>
      <c r="C124" s="119"/>
      <c r="D124" s="119"/>
      <c r="E124" s="119"/>
      <c r="F124" s="119"/>
      <c r="G124" s="120"/>
      <c r="H124" s="120"/>
      <c r="I124" s="120"/>
      <c r="J124" s="120"/>
      <c r="K124" s="120"/>
      <c r="L124" s="120"/>
      <c r="M124" s="120"/>
      <c r="N124" s="120"/>
      <c r="O124" s="120"/>
      <c r="P124" s="120"/>
      <c r="Q124" s="120"/>
      <c r="R124" s="120"/>
      <c r="S124" s="120"/>
      <c r="T124" s="119"/>
      <c r="U124" s="119"/>
      <c r="V124" s="119"/>
      <c r="W124" s="119"/>
      <c r="X124" s="93"/>
      <c r="Y124" s="119"/>
      <c r="Z124" s="119"/>
      <c r="AA124" s="119"/>
      <c r="AB124" s="119"/>
      <c r="AC124" s="119"/>
      <c r="AD124" s="119"/>
      <c r="AE124" s="119"/>
      <c r="AF124" s="119"/>
      <c r="AG124" s="119"/>
      <c r="AH124" s="119"/>
      <c r="AI124" s="119"/>
      <c r="AJ124" s="119"/>
      <c r="AK124" s="145">
        <v>0</v>
      </c>
    </row>
    <row r="125" spans="1:37" ht="15.75" hidden="1" customHeight="1" x14ac:dyDescent="0.3">
      <c r="A125" s="118"/>
      <c r="B125" s="167"/>
      <c r="C125" s="119"/>
      <c r="D125" s="119"/>
      <c r="E125" s="119"/>
      <c r="F125" s="119"/>
      <c r="G125" s="120"/>
      <c r="H125" s="120"/>
      <c r="I125" s="120"/>
      <c r="J125" s="120"/>
      <c r="K125" s="120"/>
      <c r="L125" s="120"/>
      <c r="M125" s="120"/>
      <c r="N125" s="120"/>
      <c r="O125" s="120"/>
      <c r="P125" s="120"/>
      <c r="Q125" s="120"/>
      <c r="R125" s="120"/>
      <c r="S125" s="120"/>
      <c r="T125" s="119"/>
      <c r="U125" s="119"/>
      <c r="V125" s="119"/>
      <c r="W125" s="119"/>
      <c r="X125" s="93"/>
      <c r="Y125" s="119"/>
      <c r="Z125" s="119"/>
      <c r="AA125" s="119"/>
      <c r="AB125" s="119"/>
      <c r="AC125" s="119"/>
      <c r="AD125" s="119"/>
      <c r="AE125" s="119"/>
      <c r="AF125" s="119"/>
      <c r="AG125" s="119"/>
      <c r="AH125" s="119"/>
      <c r="AI125" s="119"/>
      <c r="AJ125" s="119"/>
      <c r="AK125" s="145">
        <v>0</v>
      </c>
    </row>
    <row r="126" spans="1:37" ht="15.75" hidden="1" customHeight="1" x14ac:dyDescent="0.3">
      <c r="A126" s="118"/>
      <c r="B126" s="167"/>
      <c r="C126" s="119"/>
      <c r="D126" s="119"/>
      <c r="E126" s="119"/>
      <c r="F126" s="119"/>
      <c r="G126" s="120"/>
      <c r="H126" s="120"/>
      <c r="I126" s="120"/>
      <c r="J126" s="120"/>
      <c r="K126" s="120"/>
      <c r="L126" s="120"/>
      <c r="M126" s="120"/>
      <c r="N126" s="120"/>
      <c r="O126" s="120"/>
      <c r="P126" s="120"/>
      <c r="Q126" s="120"/>
      <c r="R126" s="120"/>
      <c r="S126" s="120"/>
      <c r="T126" s="119"/>
      <c r="U126" s="119"/>
      <c r="V126" s="119"/>
      <c r="W126" s="119"/>
      <c r="X126" s="93"/>
      <c r="Y126" s="119"/>
      <c r="Z126" s="119"/>
      <c r="AA126" s="119"/>
      <c r="AB126" s="119"/>
      <c r="AC126" s="119"/>
      <c r="AD126" s="119"/>
      <c r="AE126" s="119"/>
      <c r="AF126" s="119"/>
      <c r="AG126" s="119"/>
      <c r="AH126" s="119"/>
      <c r="AI126" s="119"/>
      <c r="AJ126" s="119"/>
      <c r="AK126" s="145">
        <v>0</v>
      </c>
    </row>
    <row r="127" spans="1:37" ht="15.75" hidden="1" customHeight="1" x14ac:dyDescent="0.3">
      <c r="A127" s="118"/>
      <c r="B127" s="167"/>
      <c r="C127" s="119"/>
      <c r="D127" s="119"/>
      <c r="E127" s="119"/>
      <c r="F127" s="119"/>
      <c r="G127" s="120"/>
      <c r="H127" s="120"/>
      <c r="I127" s="120"/>
      <c r="J127" s="120"/>
      <c r="K127" s="120"/>
      <c r="L127" s="120"/>
      <c r="M127" s="120"/>
      <c r="N127" s="120"/>
      <c r="O127" s="120"/>
      <c r="P127" s="120"/>
      <c r="Q127" s="120"/>
      <c r="R127" s="120"/>
      <c r="S127" s="120"/>
      <c r="T127" s="119"/>
      <c r="U127" s="119"/>
      <c r="V127" s="119"/>
      <c r="W127" s="119"/>
      <c r="X127" s="93"/>
      <c r="Y127" s="119"/>
      <c r="Z127" s="119"/>
      <c r="AA127" s="119"/>
      <c r="AB127" s="119"/>
      <c r="AC127" s="119"/>
      <c r="AD127" s="119"/>
      <c r="AE127" s="119"/>
      <c r="AF127" s="119"/>
      <c r="AG127" s="119"/>
      <c r="AH127" s="119"/>
      <c r="AI127" s="119"/>
      <c r="AJ127" s="119"/>
      <c r="AK127" s="145">
        <v>0</v>
      </c>
    </row>
    <row r="128" spans="1:37" ht="15.75" hidden="1" customHeight="1" x14ac:dyDescent="0.3">
      <c r="A128" s="118"/>
      <c r="B128" s="18"/>
      <c r="C128" s="119"/>
      <c r="D128" s="119"/>
      <c r="E128" s="119"/>
      <c r="F128" s="119"/>
      <c r="G128" s="120"/>
      <c r="H128" s="120"/>
      <c r="I128" s="120"/>
      <c r="J128" s="120"/>
      <c r="K128" s="120"/>
      <c r="L128" s="120"/>
      <c r="M128" s="120"/>
      <c r="N128" s="120"/>
      <c r="O128" s="120"/>
      <c r="P128" s="120"/>
      <c r="Q128" s="120"/>
      <c r="R128" s="120"/>
      <c r="S128" s="120"/>
      <c r="T128" s="119"/>
      <c r="U128" s="119"/>
      <c r="V128" s="119"/>
      <c r="W128" s="119"/>
      <c r="X128" s="93"/>
      <c r="Y128" s="119"/>
      <c r="Z128" s="119"/>
      <c r="AA128" s="119"/>
      <c r="AB128" s="119"/>
      <c r="AC128" s="119"/>
      <c r="AD128" s="119"/>
      <c r="AE128" s="119"/>
      <c r="AF128" s="119"/>
      <c r="AG128" s="119"/>
      <c r="AH128" s="119"/>
      <c r="AI128" s="119"/>
      <c r="AJ128" s="119"/>
      <c r="AK128" s="145">
        <v>0</v>
      </c>
    </row>
    <row r="129" spans="1:37" ht="15.75" hidden="1" customHeight="1" x14ac:dyDescent="0.3">
      <c r="A129" s="118"/>
      <c r="B129" s="18"/>
      <c r="C129" s="119"/>
      <c r="D129" s="119"/>
      <c r="E129" s="119"/>
      <c r="F129" s="119"/>
      <c r="G129" s="120"/>
      <c r="H129" s="120"/>
      <c r="I129" s="120"/>
      <c r="J129" s="120"/>
      <c r="K129" s="120"/>
      <c r="L129" s="120"/>
      <c r="M129" s="120"/>
      <c r="N129" s="120"/>
      <c r="O129" s="120"/>
      <c r="P129" s="120"/>
      <c r="Q129" s="120"/>
      <c r="R129" s="120"/>
      <c r="S129" s="120"/>
      <c r="T129" s="119"/>
      <c r="U129" s="119"/>
      <c r="V129" s="119"/>
      <c r="W129" s="119"/>
      <c r="X129" s="93"/>
      <c r="Y129" s="119"/>
      <c r="Z129" s="119"/>
      <c r="AA129" s="119"/>
      <c r="AB129" s="119"/>
      <c r="AC129" s="119"/>
      <c r="AD129" s="119"/>
      <c r="AE129" s="119"/>
      <c r="AF129" s="119"/>
      <c r="AG129" s="119"/>
      <c r="AH129" s="119"/>
      <c r="AI129" s="119"/>
      <c r="AJ129" s="119"/>
      <c r="AK129" s="145">
        <v>0</v>
      </c>
    </row>
    <row r="130" spans="1:37" ht="15.75" hidden="1" customHeight="1" x14ac:dyDescent="0.3">
      <c r="A130" s="118"/>
      <c r="B130" s="167"/>
      <c r="C130" s="119"/>
      <c r="D130" s="119"/>
      <c r="E130" s="119"/>
      <c r="F130" s="119"/>
      <c r="G130" s="120"/>
      <c r="H130" s="120"/>
      <c r="I130" s="120"/>
      <c r="J130" s="120"/>
      <c r="K130" s="120"/>
      <c r="L130" s="120"/>
      <c r="M130" s="120"/>
      <c r="N130" s="120"/>
      <c r="O130" s="120"/>
      <c r="P130" s="120"/>
      <c r="Q130" s="120"/>
      <c r="R130" s="120"/>
      <c r="S130" s="120"/>
      <c r="T130" s="119"/>
      <c r="U130" s="119"/>
      <c r="V130" s="119"/>
      <c r="W130" s="119"/>
      <c r="X130" s="93"/>
      <c r="Y130" s="119"/>
      <c r="Z130" s="119"/>
      <c r="AA130" s="119"/>
      <c r="AB130" s="119"/>
      <c r="AC130" s="119"/>
      <c r="AD130" s="119"/>
      <c r="AE130" s="119"/>
      <c r="AF130" s="119"/>
      <c r="AG130" s="119"/>
      <c r="AH130" s="119"/>
      <c r="AI130" s="119"/>
      <c r="AJ130" s="119"/>
      <c r="AK130" s="145">
        <v>0</v>
      </c>
    </row>
    <row r="131" spans="1:37" ht="15.75" hidden="1" customHeight="1" x14ac:dyDescent="0.3">
      <c r="A131" s="118"/>
      <c r="B131" s="167"/>
      <c r="C131" s="119"/>
      <c r="D131" s="119"/>
      <c r="E131" s="119"/>
      <c r="F131" s="119"/>
      <c r="G131" s="120"/>
      <c r="H131" s="120"/>
      <c r="I131" s="120"/>
      <c r="J131" s="120"/>
      <c r="K131" s="120"/>
      <c r="L131" s="120"/>
      <c r="M131" s="120"/>
      <c r="N131" s="120"/>
      <c r="O131" s="120"/>
      <c r="P131" s="120"/>
      <c r="Q131" s="120"/>
      <c r="R131" s="120"/>
      <c r="S131" s="120"/>
      <c r="T131" s="119"/>
      <c r="U131" s="119"/>
      <c r="V131" s="119"/>
      <c r="W131" s="119"/>
      <c r="X131" s="93"/>
      <c r="Y131" s="119"/>
      <c r="Z131" s="119"/>
      <c r="AA131" s="119"/>
      <c r="AB131" s="119"/>
      <c r="AC131" s="119"/>
      <c r="AD131" s="119"/>
      <c r="AE131" s="119"/>
      <c r="AF131" s="119"/>
      <c r="AG131" s="119"/>
      <c r="AH131" s="119"/>
      <c r="AI131" s="119"/>
      <c r="AJ131" s="119"/>
      <c r="AK131" s="145">
        <v>0</v>
      </c>
    </row>
    <row r="132" spans="1:37" ht="31.2" x14ac:dyDescent="0.3">
      <c r="A132" s="118">
        <v>3</v>
      </c>
      <c r="B132" s="167" t="s">
        <v>555</v>
      </c>
      <c r="C132" s="119"/>
      <c r="D132" s="119"/>
      <c r="E132" s="119"/>
      <c r="F132" s="119"/>
      <c r="G132" s="120"/>
      <c r="H132" s="120"/>
      <c r="I132" s="120"/>
      <c r="J132" s="120"/>
      <c r="K132" s="120"/>
      <c r="L132" s="120"/>
      <c r="M132" s="120"/>
      <c r="N132" s="120"/>
      <c r="O132" s="120"/>
      <c r="P132" s="120"/>
      <c r="Q132" s="120"/>
      <c r="R132" s="120"/>
      <c r="S132" s="120"/>
      <c r="T132" s="119"/>
      <c r="U132" s="119"/>
      <c r="V132" s="119">
        <v>379</v>
      </c>
      <c r="W132" s="119"/>
      <c r="X132" s="93">
        <v>379</v>
      </c>
      <c r="Y132" s="119"/>
      <c r="Z132" s="119"/>
      <c r="AA132" s="119"/>
      <c r="AB132" s="119"/>
      <c r="AC132" s="119"/>
      <c r="AD132" s="119"/>
      <c r="AE132" s="119"/>
      <c r="AF132" s="119"/>
      <c r="AG132" s="119"/>
      <c r="AH132" s="119"/>
      <c r="AI132" s="119"/>
      <c r="AJ132" s="119"/>
      <c r="AK132" s="145">
        <v>379</v>
      </c>
    </row>
    <row r="133" spans="1:37" s="56" customFormat="1" x14ac:dyDescent="0.3">
      <c r="A133" s="165" t="s">
        <v>92</v>
      </c>
      <c r="B133" s="166" t="s">
        <v>62</v>
      </c>
      <c r="C133" s="155">
        <v>17</v>
      </c>
      <c r="D133" s="155">
        <v>0</v>
      </c>
      <c r="E133" s="155">
        <v>0</v>
      </c>
      <c r="F133" s="155">
        <v>17</v>
      </c>
      <c r="G133" s="155">
        <v>65.180000000000007</v>
      </c>
      <c r="H133" s="155">
        <v>3.5</v>
      </c>
      <c r="I133" s="155">
        <v>0.84660000000000013</v>
      </c>
      <c r="J133" s="155">
        <v>0</v>
      </c>
      <c r="K133" s="155">
        <v>17.461650000000002</v>
      </c>
      <c r="L133" s="155">
        <v>20.953980000000001</v>
      </c>
      <c r="M133" s="155">
        <v>0</v>
      </c>
      <c r="N133" s="155">
        <v>0.95599999999999996</v>
      </c>
      <c r="O133" s="155">
        <v>1.2000000000000002</v>
      </c>
      <c r="P133" s="155"/>
      <c r="Q133" s="155"/>
      <c r="R133" s="155">
        <v>14.243335</v>
      </c>
      <c r="S133" s="155">
        <v>124.341565</v>
      </c>
      <c r="T133" s="155">
        <v>2685.7778039999994</v>
      </c>
      <c r="U133" s="155">
        <v>629</v>
      </c>
      <c r="V133" s="155">
        <v>912</v>
      </c>
      <c r="W133" s="155"/>
      <c r="X133" s="155">
        <v>4535.2778039999994</v>
      </c>
      <c r="Y133" s="155">
        <v>0</v>
      </c>
      <c r="Z133" s="155">
        <v>0</v>
      </c>
      <c r="AA133" s="155">
        <v>0</v>
      </c>
      <c r="AB133" s="155">
        <v>0</v>
      </c>
      <c r="AC133" s="155">
        <v>0</v>
      </c>
      <c r="AD133" s="155">
        <v>0</v>
      </c>
      <c r="AE133" s="155">
        <v>0</v>
      </c>
      <c r="AF133" s="155">
        <v>0</v>
      </c>
      <c r="AG133" s="155">
        <v>0</v>
      </c>
      <c r="AH133" s="155">
        <v>0</v>
      </c>
      <c r="AI133" s="155">
        <v>0</v>
      </c>
      <c r="AJ133" s="155">
        <v>0</v>
      </c>
      <c r="AK133" s="155">
        <v>4535.2778039999994</v>
      </c>
    </row>
    <row r="134" spans="1:37" s="56" customFormat="1" x14ac:dyDescent="0.3">
      <c r="A134" s="165">
        <v>1</v>
      </c>
      <c r="B134" s="166" t="s">
        <v>284</v>
      </c>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v>1762.0732440000002</v>
      </c>
      <c r="Y134" s="155">
        <v>0</v>
      </c>
      <c r="Z134" s="155">
        <v>0</v>
      </c>
      <c r="AA134" s="155">
        <v>0</v>
      </c>
      <c r="AB134" s="155">
        <v>0</v>
      </c>
      <c r="AC134" s="155">
        <v>0</v>
      </c>
      <c r="AD134" s="155">
        <v>0</v>
      </c>
      <c r="AE134" s="155">
        <v>0</v>
      </c>
      <c r="AF134" s="155">
        <v>0</v>
      </c>
      <c r="AG134" s="155">
        <v>0</v>
      </c>
      <c r="AH134" s="155">
        <v>0</v>
      </c>
      <c r="AI134" s="155">
        <v>0</v>
      </c>
      <c r="AJ134" s="155">
        <v>0</v>
      </c>
      <c r="AK134" s="155">
        <v>1762.0732440000002</v>
      </c>
    </row>
    <row r="135" spans="1:37" x14ac:dyDescent="0.3">
      <c r="A135" s="118"/>
      <c r="B135" s="18" t="s">
        <v>551</v>
      </c>
      <c r="C135" s="119">
        <v>5</v>
      </c>
      <c r="D135" s="119"/>
      <c r="E135" s="119"/>
      <c r="F135" s="119">
        <v>5</v>
      </c>
      <c r="G135" s="120">
        <v>22.05</v>
      </c>
      <c r="H135" s="120">
        <v>1</v>
      </c>
      <c r="I135" s="120">
        <v>0.84660000000000013</v>
      </c>
      <c r="J135" s="120"/>
      <c r="K135" s="120">
        <v>5.9741499999999998</v>
      </c>
      <c r="L135" s="120">
        <v>7.1689799999999995</v>
      </c>
      <c r="M135" s="120"/>
      <c r="N135" s="120">
        <v>0.63600000000000001</v>
      </c>
      <c r="O135" s="120">
        <v>0.4</v>
      </c>
      <c r="P135" s="120"/>
      <c r="Q135" s="120"/>
      <c r="R135" s="120">
        <v>5.376735</v>
      </c>
      <c r="S135" s="120">
        <v>43.452465000000004</v>
      </c>
      <c r="T135" s="119">
        <v>938.57324400000005</v>
      </c>
      <c r="U135" s="119">
        <v>185</v>
      </c>
      <c r="V135" s="119"/>
      <c r="W135" s="119"/>
      <c r="X135" s="93">
        <v>1123.5732440000002</v>
      </c>
      <c r="Y135" s="119"/>
      <c r="Z135" s="119"/>
      <c r="AA135" s="119"/>
      <c r="AB135" s="119"/>
      <c r="AC135" s="119"/>
      <c r="AD135" s="119"/>
      <c r="AE135" s="119"/>
      <c r="AF135" s="119"/>
      <c r="AG135" s="119"/>
      <c r="AH135" s="119"/>
      <c r="AI135" s="119"/>
      <c r="AJ135" s="119"/>
      <c r="AK135" s="145">
        <v>1123.5732440000002</v>
      </c>
    </row>
    <row r="136" spans="1:37" x14ac:dyDescent="0.3">
      <c r="A136" s="118"/>
      <c r="B136" s="167" t="s">
        <v>433</v>
      </c>
      <c r="C136" s="119"/>
      <c r="D136" s="119"/>
      <c r="E136" s="119"/>
      <c r="F136" s="119"/>
      <c r="G136" s="120"/>
      <c r="H136" s="120"/>
      <c r="I136" s="120"/>
      <c r="J136" s="120"/>
      <c r="K136" s="120"/>
      <c r="L136" s="120"/>
      <c r="M136" s="120"/>
      <c r="N136" s="120"/>
      <c r="O136" s="120"/>
      <c r="P136" s="120"/>
      <c r="Q136" s="120"/>
      <c r="R136" s="120"/>
      <c r="S136" s="120"/>
      <c r="T136" s="119"/>
      <c r="U136" s="119"/>
      <c r="V136" s="119">
        <v>200</v>
      </c>
      <c r="W136" s="119"/>
      <c r="X136" s="93">
        <v>288</v>
      </c>
      <c r="Y136" s="119"/>
      <c r="Z136" s="119"/>
      <c r="AA136" s="119"/>
      <c r="AB136" s="119"/>
      <c r="AC136" s="119"/>
      <c r="AD136" s="119"/>
      <c r="AE136" s="119"/>
      <c r="AF136" s="119"/>
      <c r="AG136" s="119"/>
      <c r="AH136" s="119"/>
      <c r="AI136" s="119"/>
      <c r="AJ136" s="119"/>
      <c r="AK136" s="145">
        <v>288</v>
      </c>
    </row>
    <row r="137" spans="1:37" ht="31.5" hidden="1" customHeight="1" x14ac:dyDescent="0.3">
      <c r="A137" s="118"/>
      <c r="B137" s="167" t="s">
        <v>434</v>
      </c>
      <c r="C137" s="119"/>
      <c r="D137" s="119"/>
      <c r="E137" s="119"/>
      <c r="F137" s="119"/>
      <c r="G137" s="120"/>
      <c r="H137" s="120"/>
      <c r="I137" s="120"/>
      <c r="J137" s="120"/>
      <c r="K137" s="120"/>
      <c r="L137" s="120"/>
      <c r="M137" s="120"/>
      <c r="N137" s="120"/>
      <c r="O137" s="120"/>
      <c r="P137" s="120"/>
      <c r="Q137" s="120"/>
      <c r="R137" s="120"/>
      <c r="S137" s="120"/>
      <c r="T137" s="119"/>
      <c r="U137" s="119"/>
      <c r="V137" s="119"/>
      <c r="W137" s="119"/>
      <c r="X137" s="93"/>
      <c r="Y137" s="119"/>
      <c r="Z137" s="119"/>
      <c r="AA137" s="119"/>
      <c r="AB137" s="119"/>
      <c r="AC137" s="119"/>
      <c r="AD137" s="119"/>
      <c r="AE137" s="119"/>
      <c r="AF137" s="119"/>
      <c r="AG137" s="119"/>
      <c r="AH137" s="119"/>
      <c r="AI137" s="119"/>
      <c r="AJ137" s="119"/>
      <c r="AK137" s="145">
        <v>0</v>
      </c>
    </row>
    <row r="138" spans="1:37" ht="15.75" hidden="1" customHeight="1" x14ac:dyDescent="0.3">
      <c r="A138" s="118"/>
      <c r="B138" s="167"/>
      <c r="C138" s="119"/>
      <c r="D138" s="119"/>
      <c r="E138" s="119"/>
      <c r="F138" s="119"/>
      <c r="G138" s="120"/>
      <c r="H138" s="120"/>
      <c r="I138" s="120"/>
      <c r="J138" s="120"/>
      <c r="K138" s="120"/>
      <c r="L138" s="120"/>
      <c r="M138" s="120"/>
      <c r="N138" s="120"/>
      <c r="O138" s="120"/>
      <c r="P138" s="120"/>
      <c r="Q138" s="120"/>
      <c r="R138" s="120"/>
      <c r="S138" s="120"/>
      <c r="T138" s="119"/>
      <c r="U138" s="119"/>
      <c r="V138" s="119"/>
      <c r="W138" s="119"/>
      <c r="X138" s="93"/>
      <c r="Y138" s="119"/>
      <c r="Z138" s="119"/>
      <c r="AA138" s="119"/>
      <c r="AB138" s="119"/>
      <c r="AC138" s="119"/>
      <c r="AD138" s="119"/>
      <c r="AE138" s="119"/>
      <c r="AF138" s="119"/>
      <c r="AG138" s="119"/>
      <c r="AH138" s="119"/>
      <c r="AI138" s="119"/>
      <c r="AJ138" s="119"/>
      <c r="AK138" s="145">
        <v>0</v>
      </c>
    </row>
    <row r="139" spans="1:37" ht="15.75" hidden="1" customHeight="1" x14ac:dyDescent="0.3">
      <c r="A139" s="118"/>
      <c r="B139" s="167"/>
      <c r="C139" s="119"/>
      <c r="D139" s="119"/>
      <c r="E139" s="119"/>
      <c r="F139" s="119"/>
      <c r="G139" s="120"/>
      <c r="H139" s="120"/>
      <c r="I139" s="120"/>
      <c r="J139" s="120"/>
      <c r="K139" s="120"/>
      <c r="L139" s="120"/>
      <c r="M139" s="120"/>
      <c r="N139" s="120"/>
      <c r="O139" s="120"/>
      <c r="P139" s="120"/>
      <c r="Q139" s="120"/>
      <c r="R139" s="120"/>
      <c r="S139" s="120"/>
      <c r="T139" s="119"/>
      <c r="U139" s="119"/>
      <c r="V139" s="119"/>
      <c r="W139" s="119"/>
      <c r="X139" s="93"/>
      <c r="Y139" s="119"/>
      <c r="Z139" s="119"/>
      <c r="AA139" s="119"/>
      <c r="AB139" s="119"/>
      <c r="AC139" s="119"/>
      <c r="AD139" s="119"/>
      <c r="AE139" s="119"/>
      <c r="AF139" s="119"/>
      <c r="AG139" s="119"/>
      <c r="AH139" s="119"/>
      <c r="AI139" s="119"/>
      <c r="AJ139" s="119"/>
      <c r="AK139" s="145">
        <v>0</v>
      </c>
    </row>
    <row r="140" spans="1:37" ht="15.75" hidden="1" customHeight="1" x14ac:dyDescent="0.3">
      <c r="A140" s="118"/>
      <c r="B140" s="167"/>
      <c r="C140" s="119"/>
      <c r="D140" s="119"/>
      <c r="E140" s="119"/>
      <c r="F140" s="119"/>
      <c r="G140" s="120"/>
      <c r="H140" s="120"/>
      <c r="I140" s="120"/>
      <c r="J140" s="120"/>
      <c r="K140" s="120"/>
      <c r="L140" s="120"/>
      <c r="M140" s="120"/>
      <c r="N140" s="120"/>
      <c r="O140" s="120"/>
      <c r="P140" s="120"/>
      <c r="Q140" s="120"/>
      <c r="R140" s="120"/>
      <c r="S140" s="120"/>
      <c r="T140" s="119"/>
      <c r="U140" s="119"/>
      <c r="V140" s="119"/>
      <c r="W140" s="119"/>
      <c r="X140" s="93"/>
      <c r="Y140" s="119"/>
      <c r="Z140" s="119"/>
      <c r="AA140" s="119"/>
      <c r="AB140" s="119"/>
      <c r="AC140" s="119"/>
      <c r="AD140" s="119"/>
      <c r="AE140" s="119"/>
      <c r="AF140" s="119"/>
      <c r="AG140" s="119"/>
      <c r="AH140" s="119"/>
      <c r="AI140" s="119"/>
      <c r="AJ140" s="119"/>
      <c r="AK140" s="145">
        <v>0</v>
      </c>
    </row>
    <row r="141" spans="1:37" ht="15.75" hidden="1" customHeight="1" x14ac:dyDescent="0.3">
      <c r="A141" s="118"/>
      <c r="B141" s="167"/>
      <c r="C141" s="119"/>
      <c r="D141" s="119"/>
      <c r="E141" s="119"/>
      <c r="F141" s="119"/>
      <c r="G141" s="120"/>
      <c r="H141" s="120"/>
      <c r="I141" s="120"/>
      <c r="J141" s="120"/>
      <c r="K141" s="120"/>
      <c r="L141" s="120"/>
      <c r="M141" s="120"/>
      <c r="N141" s="120"/>
      <c r="O141" s="120"/>
      <c r="P141" s="120"/>
      <c r="Q141" s="120"/>
      <c r="R141" s="120"/>
      <c r="S141" s="120"/>
      <c r="T141" s="119"/>
      <c r="U141" s="119"/>
      <c r="V141" s="119"/>
      <c r="W141" s="119"/>
      <c r="X141" s="93"/>
      <c r="Y141" s="119"/>
      <c r="Z141" s="119"/>
      <c r="AA141" s="119"/>
      <c r="AB141" s="119"/>
      <c r="AC141" s="119"/>
      <c r="AD141" s="119"/>
      <c r="AE141" s="119"/>
      <c r="AF141" s="119"/>
      <c r="AG141" s="119"/>
      <c r="AH141" s="119"/>
      <c r="AI141" s="119"/>
      <c r="AJ141" s="119"/>
      <c r="AK141" s="145">
        <v>0</v>
      </c>
    </row>
    <row r="142" spans="1:37" ht="15.75" hidden="1" customHeight="1" x14ac:dyDescent="0.3">
      <c r="A142" s="118"/>
      <c r="B142" s="167"/>
      <c r="C142" s="119"/>
      <c r="D142" s="119"/>
      <c r="E142" s="119"/>
      <c r="F142" s="119"/>
      <c r="G142" s="120"/>
      <c r="H142" s="120"/>
      <c r="I142" s="120"/>
      <c r="J142" s="120"/>
      <c r="K142" s="120"/>
      <c r="L142" s="120"/>
      <c r="M142" s="120"/>
      <c r="N142" s="120"/>
      <c r="O142" s="120"/>
      <c r="P142" s="120"/>
      <c r="Q142" s="120"/>
      <c r="R142" s="120"/>
      <c r="S142" s="120"/>
      <c r="T142" s="119"/>
      <c r="U142" s="119"/>
      <c r="V142" s="119"/>
      <c r="W142" s="119"/>
      <c r="X142" s="93"/>
      <c r="Y142" s="119"/>
      <c r="Z142" s="119"/>
      <c r="AA142" s="119"/>
      <c r="AB142" s="119"/>
      <c r="AC142" s="119"/>
      <c r="AD142" s="119"/>
      <c r="AE142" s="119"/>
      <c r="AF142" s="119"/>
      <c r="AG142" s="119"/>
      <c r="AH142" s="119"/>
      <c r="AI142" s="119"/>
      <c r="AJ142" s="119"/>
      <c r="AK142" s="145">
        <v>0</v>
      </c>
    </row>
    <row r="143" spans="1:37" ht="15.75" hidden="1" customHeight="1" x14ac:dyDescent="0.3">
      <c r="A143" s="118"/>
      <c r="B143" s="167"/>
      <c r="C143" s="119"/>
      <c r="D143" s="119"/>
      <c r="E143" s="119"/>
      <c r="F143" s="119"/>
      <c r="G143" s="120"/>
      <c r="H143" s="120"/>
      <c r="I143" s="120"/>
      <c r="J143" s="120"/>
      <c r="K143" s="120"/>
      <c r="L143" s="120"/>
      <c r="M143" s="120"/>
      <c r="N143" s="120"/>
      <c r="O143" s="120"/>
      <c r="P143" s="120"/>
      <c r="Q143" s="120"/>
      <c r="R143" s="120"/>
      <c r="S143" s="120"/>
      <c r="T143" s="119"/>
      <c r="U143" s="119"/>
      <c r="V143" s="119"/>
      <c r="W143" s="119"/>
      <c r="X143" s="93"/>
      <c r="Y143" s="119"/>
      <c r="Z143" s="119"/>
      <c r="AA143" s="119"/>
      <c r="AB143" s="119"/>
      <c r="AC143" s="119"/>
      <c r="AD143" s="119"/>
      <c r="AE143" s="119"/>
      <c r="AF143" s="119"/>
      <c r="AG143" s="119"/>
      <c r="AH143" s="119"/>
      <c r="AI143" s="119"/>
      <c r="AJ143" s="119"/>
      <c r="AK143" s="145">
        <v>0</v>
      </c>
    </row>
    <row r="144" spans="1:37" ht="15.75" hidden="1" customHeight="1" x14ac:dyDescent="0.3">
      <c r="A144" s="118"/>
      <c r="B144" s="167"/>
      <c r="C144" s="119"/>
      <c r="D144" s="119"/>
      <c r="E144" s="119"/>
      <c r="F144" s="119"/>
      <c r="G144" s="120"/>
      <c r="H144" s="120"/>
      <c r="I144" s="120"/>
      <c r="J144" s="120"/>
      <c r="K144" s="120"/>
      <c r="L144" s="120"/>
      <c r="M144" s="120"/>
      <c r="N144" s="120"/>
      <c r="O144" s="120"/>
      <c r="P144" s="120"/>
      <c r="Q144" s="120"/>
      <c r="R144" s="120"/>
      <c r="S144" s="120"/>
      <c r="T144" s="119"/>
      <c r="U144" s="119"/>
      <c r="V144" s="119"/>
      <c r="W144" s="119"/>
      <c r="X144" s="93"/>
      <c r="Y144" s="119"/>
      <c r="Z144" s="119"/>
      <c r="AA144" s="119"/>
      <c r="AB144" s="119"/>
      <c r="AC144" s="119"/>
      <c r="AD144" s="119"/>
      <c r="AE144" s="119"/>
      <c r="AF144" s="119"/>
      <c r="AG144" s="119"/>
      <c r="AH144" s="119"/>
      <c r="AI144" s="119"/>
      <c r="AJ144" s="119"/>
      <c r="AK144" s="145">
        <v>0</v>
      </c>
    </row>
    <row r="145" spans="1:37" ht="46.8" x14ac:dyDescent="0.3">
      <c r="A145" s="118"/>
      <c r="B145" s="167" t="s">
        <v>285</v>
      </c>
      <c r="C145" s="119"/>
      <c r="D145" s="119"/>
      <c r="E145" s="119"/>
      <c r="F145" s="119"/>
      <c r="G145" s="120"/>
      <c r="H145" s="120"/>
      <c r="I145" s="120"/>
      <c r="J145" s="120"/>
      <c r="K145" s="120"/>
      <c r="L145" s="120"/>
      <c r="M145" s="120"/>
      <c r="N145" s="120"/>
      <c r="O145" s="120"/>
      <c r="P145" s="120"/>
      <c r="Q145" s="120"/>
      <c r="R145" s="120"/>
      <c r="S145" s="120"/>
      <c r="T145" s="119"/>
      <c r="U145" s="119"/>
      <c r="V145" s="119">
        <v>200</v>
      </c>
      <c r="W145" s="119"/>
      <c r="X145" s="93">
        <v>350.5</v>
      </c>
      <c r="Y145" s="119"/>
      <c r="Z145" s="119"/>
      <c r="AA145" s="119"/>
      <c r="AB145" s="119"/>
      <c r="AC145" s="119"/>
      <c r="AD145" s="119"/>
      <c r="AE145" s="119"/>
      <c r="AF145" s="119"/>
      <c r="AG145" s="119"/>
      <c r="AH145" s="119"/>
      <c r="AI145" s="119"/>
      <c r="AJ145" s="119"/>
      <c r="AK145" s="145">
        <v>350.5</v>
      </c>
    </row>
    <row r="146" spans="1:37" s="457" customFormat="1" x14ac:dyDescent="0.3">
      <c r="A146" s="454">
        <v>2</v>
      </c>
      <c r="B146" s="453" t="s">
        <v>286</v>
      </c>
      <c r="C146" s="452"/>
      <c r="D146" s="452"/>
      <c r="E146" s="452"/>
      <c r="F146" s="452"/>
      <c r="G146" s="456"/>
      <c r="H146" s="456"/>
      <c r="I146" s="456"/>
      <c r="J146" s="456"/>
      <c r="K146" s="456"/>
      <c r="L146" s="456"/>
      <c r="M146" s="456"/>
      <c r="N146" s="456"/>
      <c r="O146" s="456"/>
      <c r="P146" s="456"/>
      <c r="Q146" s="456"/>
      <c r="R146" s="456"/>
      <c r="S146" s="456"/>
      <c r="T146" s="452"/>
      <c r="U146" s="452"/>
      <c r="V146" s="452"/>
      <c r="W146" s="452"/>
      <c r="X146" s="452">
        <v>725.67660000000001</v>
      </c>
      <c r="Y146" s="452">
        <v>0</v>
      </c>
      <c r="Z146" s="452">
        <v>0</v>
      </c>
      <c r="AA146" s="452">
        <v>0</v>
      </c>
      <c r="AB146" s="452">
        <v>0</v>
      </c>
      <c r="AC146" s="452">
        <v>0</v>
      </c>
      <c r="AD146" s="452">
        <v>0</v>
      </c>
      <c r="AE146" s="452">
        <v>0</v>
      </c>
      <c r="AF146" s="452">
        <v>0</v>
      </c>
      <c r="AG146" s="452">
        <v>0</v>
      </c>
      <c r="AH146" s="452">
        <v>0</v>
      </c>
      <c r="AI146" s="452">
        <v>0</v>
      </c>
      <c r="AJ146" s="452">
        <v>0</v>
      </c>
      <c r="AK146" s="452">
        <v>725.67660000000001</v>
      </c>
    </row>
    <row r="147" spans="1:37" x14ac:dyDescent="0.3">
      <c r="A147" s="118"/>
      <c r="B147" s="18" t="s">
        <v>551</v>
      </c>
      <c r="C147" s="119">
        <v>3</v>
      </c>
      <c r="D147" s="119"/>
      <c r="E147" s="119"/>
      <c r="F147" s="119">
        <v>3</v>
      </c>
      <c r="G147" s="120">
        <v>8.34</v>
      </c>
      <c r="H147" s="120">
        <v>0.65</v>
      </c>
      <c r="I147" s="120"/>
      <c r="J147" s="120"/>
      <c r="K147" s="120">
        <v>2.2475000000000001</v>
      </c>
      <c r="L147" s="120">
        <v>2.6970000000000001</v>
      </c>
      <c r="M147" s="120"/>
      <c r="N147" s="120"/>
      <c r="O147" s="120"/>
      <c r="P147" s="120"/>
      <c r="Q147" s="120"/>
      <c r="R147" s="120">
        <v>2.0227500000000003</v>
      </c>
      <c r="S147" s="120">
        <v>15.95725</v>
      </c>
      <c r="T147" s="119">
        <v>344.67660000000001</v>
      </c>
      <c r="U147" s="119">
        <v>111</v>
      </c>
      <c r="V147" s="119"/>
      <c r="W147" s="119"/>
      <c r="X147" s="93">
        <v>455.67660000000001</v>
      </c>
      <c r="Y147" s="119"/>
      <c r="Z147" s="119"/>
      <c r="AA147" s="119"/>
      <c r="AB147" s="119"/>
      <c r="AC147" s="119"/>
      <c r="AD147" s="119"/>
      <c r="AE147" s="119"/>
      <c r="AF147" s="119"/>
      <c r="AG147" s="119"/>
      <c r="AH147" s="119"/>
      <c r="AI147" s="119"/>
      <c r="AJ147" s="119"/>
      <c r="AK147" s="145">
        <v>455.67660000000001</v>
      </c>
    </row>
    <row r="148" spans="1:37" x14ac:dyDescent="0.3">
      <c r="A148" s="118"/>
      <c r="B148" s="18" t="s">
        <v>394</v>
      </c>
      <c r="C148" s="119"/>
      <c r="D148" s="119"/>
      <c r="E148" s="119"/>
      <c r="F148" s="119"/>
      <c r="G148" s="120"/>
      <c r="H148" s="120"/>
      <c r="I148" s="120"/>
      <c r="J148" s="120"/>
      <c r="K148" s="120"/>
      <c r="L148" s="120"/>
      <c r="M148" s="120"/>
      <c r="N148" s="120"/>
      <c r="O148" s="120"/>
      <c r="P148" s="120"/>
      <c r="Q148" s="120"/>
      <c r="R148" s="120"/>
      <c r="S148" s="120"/>
      <c r="T148" s="119"/>
      <c r="U148" s="119"/>
      <c r="V148" s="119"/>
      <c r="W148" s="119"/>
      <c r="X148" s="93">
        <v>170</v>
      </c>
      <c r="Y148" s="119"/>
      <c r="Z148" s="119"/>
      <c r="AA148" s="119"/>
      <c r="AB148" s="119"/>
      <c r="AC148" s="119"/>
      <c r="AD148" s="119"/>
      <c r="AE148" s="119"/>
      <c r="AF148" s="119"/>
      <c r="AG148" s="119"/>
      <c r="AH148" s="119"/>
      <c r="AI148" s="119"/>
      <c r="AJ148" s="119"/>
      <c r="AK148" s="145">
        <v>170</v>
      </c>
    </row>
    <row r="149" spans="1:37" x14ac:dyDescent="0.3">
      <c r="A149" s="118"/>
      <c r="B149" s="18" t="s">
        <v>287</v>
      </c>
      <c r="C149" s="119"/>
      <c r="D149" s="119"/>
      <c r="E149" s="119"/>
      <c r="F149" s="119"/>
      <c r="G149" s="120"/>
      <c r="H149" s="120"/>
      <c r="I149" s="120"/>
      <c r="J149" s="120"/>
      <c r="K149" s="120"/>
      <c r="L149" s="120"/>
      <c r="M149" s="120"/>
      <c r="N149" s="120"/>
      <c r="O149" s="120"/>
      <c r="P149" s="120"/>
      <c r="Q149" s="120"/>
      <c r="R149" s="120"/>
      <c r="S149" s="120"/>
      <c r="T149" s="119"/>
      <c r="U149" s="119"/>
      <c r="V149" s="119">
        <v>100</v>
      </c>
      <c r="W149" s="119"/>
      <c r="X149" s="93">
        <v>100</v>
      </c>
      <c r="Y149" s="119"/>
      <c r="Z149" s="119"/>
      <c r="AA149" s="119"/>
      <c r="AB149" s="119"/>
      <c r="AC149" s="119"/>
      <c r="AD149" s="119"/>
      <c r="AE149" s="119"/>
      <c r="AF149" s="119"/>
      <c r="AG149" s="119"/>
      <c r="AH149" s="119"/>
      <c r="AI149" s="119"/>
      <c r="AJ149" s="119"/>
      <c r="AK149" s="145">
        <v>100</v>
      </c>
    </row>
    <row r="150" spans="1:37" s="457" customFormat="1" x14ac:dyDescent="0.3">
      <c r="A150" s="454">
        <v>3</v>
      </c>
      <c r="B150" s="455" t="s">
        <v>556</v>
      </c>
      <c r="C150" s="452"/>
      <c r="D150" s="452"/>
      <c r="E150" s="452"/>
      <c r="F150" s="452"/>
      <c r="G150" s="456"/>
      <c r="H150" s="456"/>
      <c r="I150" s="456"/>
      <c r="J150" s="456"/>
      <c r="K150" s="456"/>
      <c r="L150" s="456"/>
      <c r="M150" s="456"/>
      <c r="N150" s="456"/>
      <c r="O150" s="456"/>
      <c r="P150" s="456"/>
      <c r="Q150" s="456"/>
      <c r="R150" s="456"/>
      <c r="S150" s="456"/>
      <c r="T150" s="452"/>
      <c r="U150" s="452"/>
      <c r="V150" s="452"/>
      <c r="W150" s="452"/>
      <c r="X150" s="452">
        <v>846.69259999999997</v>
      </c>
      <c r="Y150" s="452">
        <v>0</v>
      </c>
      <c r="Z150" s="452">
        <v>0</v>
      </c>
      <c r="AA150" s="452">
        <v>0</v>
      </c>
      <c r="AB150" s="452">
        <v>0</v>
      </c>
      <c r="AC150" s="452">
        <v>0</v>
      </c>
      <c r="AD150" s="452">
        <v>0</v>
      </c>
      <c r="AE150" s="452">
        <v>0</v>
      </c>
      <c r="AF150" s="452">
        <v>0</v>
      </c>
      <c r="AG150" s="452">
        <v>0</v>
      </c>
      <c r="AH150" s="452">
        <v>0</v>
      </c>
      <c r="AI150" s="452">
        <v>0</v>
      </c>
      <c r="AJ150" s="452">
        <v>0</v>
      </c>
      <c r="AK150" s="452">
        <v>846.69259999999997</v>
      </c>
    </row>
    <row r="151" spans="1:37" x14ac:dyDescent="0.3">
      <c r="A151" s="118"/>
      <c r="B151" s="18" t="s">
        <v>551</v>
      </c>
      <c r="C151" s="119">
        <v>4</v>
      </c>
      <c r="D151" s="119"/>
      <c r="E151" s="119"/>
      <c r="F151" s="119">
        <v>4</v>
      </c>
      <c r="G151" s="120">
        <v>14.74</v>
      </c>
      <c r="H151" s="120">
        <v>0.65</v>
      </c>
      <c r="I151" s="120"/>
      <c r="J151" s="120"/>
      <c r="K151" s="120">
        <v>3.8475000000000001</v>
      </c>
      <c r="L151" s="120">
        <v>4.617</v>
      </c>
      <c r="M151" s="120"/>
      <c r="N151" s="120"/>
      <c r="O151" s="120">
        <v>0.4</v>
      </c>
      <c r="P151" s="120"/>
      <c r="Q151" s="120"/>
      <c r="R151" s="120">
        <v>3.4627500000000002</v>
      </c>
      <c r="S151" s="120">
        <v>27.71725</v>
      </c>
      <c r="T151" s="119">
        <v>598.69259999999997</v>
      </c>
      <c r="U151" s="119">
        <v>148</v>
      </c>
      <c r="V151" s="119"/>
      <c r="W151" s="119"/>
      <c r="X151" s="93">
        <v>746.69259999999997</v>
      </c>
      <c r="Y151" s="119"/>
      <c r="Z151" s="119"/>
      <c r="AA151" s="119"/>
      <c r="AB151" s="119"/>
      <c r="AC151" s="119"/>
      <c r="AD151" s="119"/>
      <c r="AE151" s="119"/>
      <c r="AF151" s="119"/>
      <c r="AG151" s="119"/>
      <c r="AH151" s="119"/>
      <c r="AI151" s="119"/>
      <c r="AJ151" s="119"/>
      <c r="AK151" s="145">
        <v>746.69259999999997</v>
      </c>
    </row>
    <row r="152" spans="1:37" x14ac:dyDescent="0.3">
      <c r="A152" s="118"/>
      <c r="B152" s="18" t="s">
        <v>287</v>
      </c>
      <c r="C152" s="119"/>
      <c r="D152" s="119"/>
      <c r="E152" s="119"/>
      <c r="F152" s="119"/>
      <c r="G152" s="120"/>
      <c r="H152" s="120"/>
      <c r="I152" s="120"/>
      <c r="J152" s="120"/>
      <c r="K152" s="120"/>
      <c r="L152" s="120"/>
      <c r="M152" s="120"/>
      <c r="N152" s="120"/>
      <c r="O152" s="120"/>
      <c r="P152" s="120"/>
      <c r="Q152" s="120"/>
      <c r="R152" s="120"/>
      <c r="S152" s="120"/>
      <c r="T152" s="119"/>
      <c r="U152" s="119"/>
      <c r="V152" s="119">
        <v>100</v>
      </c>
      <c r="W152" s="119"/>
      <c r="X152" s="93">
        <v>100</v>
      </c>
      <c r="Y152" s="119"/>
      <c r="Z152" s="119"/>
      <c r="AA152" s="119"/>
      <c r="AB152" s="119"/>
      <c r="AC152" s="119"/>
      <c r="AD152" s="119"/>
      <c r="AE152" s="119"/>
      <c r="AF152" s="119"/>
      <c r="AG152" s="119"/>
      <c r="AH152" s="119"/>
      <c r="AI152" s="119"/>
      <c r="AJ152" s="119"/>
      <c r="AK152" s="145">
        <v>100</v>
      </c>
    </row>
    <row r="153" spans="1:37" s="457" customFormat="1" x14ac:dyDescent="0.3">
      <c r="A153" s="454">
        <v>4</v>
      </c>
      <c r="B153" s="455" t="s">
        <v>557</v>
      </c>
      <c r="C153" s="452"/>
      <c r="D153" s="452"/>
      <c r="E153" s="452"/>
      <c r="F153" s="452"/>
      <c r="G153" s="456"/>
      <c r="H153" s="456"/>
      <c r="I153" s="456"/>
      <c r="J153" s="456"/>
      <c r="K153" s="456"/>
      <c r="L153" s="456"/>
      <c r="M153" s="456"/>
      <c r="N153" s="456"/>
      <c r="O153" s="456"/>
      <c r="P153" s="456"/>
      <c r="Q153" s="456"/>
      <c r="R153" s="456"/>
      <c r="S153" s="456"/>
      <c r="T153" s="452"/>
      <c r="U153" s="452"/>
      <c r="V153" s="452"/>
      <c r="W153" s="452"/>
      <c r="X153" s="452">
        <v>772.50279999999987</v>
      </c>
      <c r="Y153" s="452">
        <v>0</v>
      </c>
      <c r="Z153" s="452">
        <v>0</v>
      </c>
      <c r="AA153" s="452">
        <v>0</v>
      </c>
      <c r="AB153" s="452">
        <v>0</v>
      </c>
      <c r="AC153" s="452">
        <v>0</v>
      </c>
      <c r="AD153" s="452">
        <v>0</v>
      </c>
      <c r="AE153" s="452">
        <v>0</v>
      </c>
      <c r="AF153" s="452">
        <v>0</v>
      </c>
      <c r="AG153" s="452">
        <v>0</v>
      </c>
      <c r="AH153" s="452">
        <v>0</v>
      </c>
      <c r="AI153" s="452">
        <v>0</v>
      </c>
      <c r="AJ153" s="452">
        <v>0</v>
      </c>
      <c r="AK153" s="452">
        <v>772.50279999999987</v>
      </c>
    </row>
    <row r="154" spans="1:37" x14ac:dyDescent="0.3">
      <c r="A154" s="118"/>
      <c r="B154" s="18" t="s">
        <v>551</v>
      </c>
      <c r="C154" s="119">
        <v>3</v>
      </c>
      <c r="D154" s="119"/>
      <c r="E154" s="119"/>
      <c r="F154" s="119">
        <v>3</v>
      </c>
      <c r="G154" s="120">
        <v>13.72</v>
      </c>
      <c r="H154" s="120">
        <v>0.7</v>
      </c>
      <c r="I154" s="120"/>
      <c r="J154" s="120"/>
      <c r="K154" s="120">
        <v>3.605</v>
      </c>
      <c r="L154" s="120">
        <v>4.3259999999999996</v>
      </c>
      <c r="M154" s="120"/>
      <c r="N154" s="120"/>
      <c r="O154" s="120">
        <v>0.4</v>
      </c>
      <c r="P154" s="120"/>
      <c r="Q154" s="120"/>
      <c r="R154" s="120">
        <v>3.2444999999999999</v>
      </c>
      <c r="S154" s="120">
        <v>25.995499999999996</v>
      </c>
      <c r="T154" s="119">
        <v>561.50279999999987</v>
      </c>
      <c r="U154" s="119">
        <v>111</v>
      </c>
      <c r="V154" s="119"/>
      <c r="W154" s="119"/>
      <c r="X154" s="93">
        <v>672.50279999999987</v>
      </c>
      <c r="Y154" s="119"/>
      <c r="Z154" s="119"/>
      <c r="AA154" s="119"/>
      <c r="AB154" s="119"/>
      <c r="AC154" s="119"/>
      <c r="AD154" s="119"/>
      <c r="AE154" s="119"/>
      <c r="AF154" s="119"/>
      <c r="AG154" s="119"/>
      <c r="AH154" s="119"/>
      <c r="AI154" s="119"/>
      <c r="AJ154" s="119"/>
      <c r="AK154" s="145">
        <v>672.50279999999987</v>
      </c>
    </row>
    <row r="155" spans="1:37" x14ac:dyDescent="0.3">
      <c r="A155" s="118"/>
      <c r="B155" s="18" t="s">
        <v>287</v>
      </c>
      <c r="C155" s="119"/>
      <c r="D155" s="119"/>
      <c r="E155" s="119"/>
      <c r="F155" s="119"/>
      <c r="G155" s="120"/>
      <c r="H155" s="120"/>
      <c r="I155" s="120"/>
      <c r="J155" s="120"/>
      <c r="K155" s="120"/>
      <c r="L155" s="120"/>
      <c r="M155" s="120"/>
      <c r="N155" s="120"/>
      <c r="O155" s="120"/>
      <c r="P155" s="120"/>
      <c r="Q155" s="120"/>
      <c r="R155" s="120"/>
      <c r="S155" s="120"/>
      <c r="T155" s="119"/>
      <c r="U155" s="119"/>
      <c r="V155" s="119">
        <v>200</v>
      </c>
      <c r="W155" s="119"/>
      <c r="X155" s="93">
        <v>100</v>
      </c>
      <c r="Y155" s="119"/>
      <c r="Z155" s="119"/>
      <c r="AA155" s="119"/>
      <c r="AB155" s="119"/>
      <c r="AC155" s="119"/>
      <c r="AD155" s="119"/>
      <c r="AE155" s="119"/>
      <c r="AF155" s="119"/>
      <c r="AG155" s="119"/>
      <c r="AH155" s="119"/>
      <c r="AI155" s="119"/>
      <c r="AJ155" s="119"/>
      <c r="AK155" s="145">
        <v>100</v>
      </c>
    </row>
    <row r="156" spans="1:37" s="457" customFormat="1" x14ac:dyDescent="0.3">
      <c r="A156" s="454">
        <v>5</v>
      </c>
      <c r="B156" s="455" t="s">
        <v>558</v>
      </c>
      <c r="C156" s="452"/>
      <c r="D156" s="452"/>
      <c r="E156" s="452"/>
      <c r="F156" s="452"/>
      <c r="G156" s="456"/>
      <c r="H156" s="456"/>
      <c r="I156" s="456"/>
      <c r="J156" s="456"/>
      <c r="K156" s="456"/>
      <c r="L156" s="456"/>
      <c r="M156" s="456"/>
      <c r="N156" s="456"/>
      <c r="O156" s="456"/>
      <c r="P156" s="456"/>
      <c r="Q156" s="456"/>
      <c r="R156" s="456"/>
      <c r="S156" s="456"/>
      <c r="T156" s="452"/>
      <c r="U156" s="452"/>
      <c r="V156" s="452"/>
      <c r="W156" s="452"/>
      <c r="X156" s="452">
        <v>428.33256</v>
      </c>
      <c r="Y156" s="452">
        <v>0</v>
      </c>
      <c r="Z156" s="452">
        <v>0</v>
      </c>
      <c r="AA156" s="452">
        <v>0</v>
      </c>
      <c r="AB156" s="452">
        <v>0</v>
      </c>
      <c r="AC156" s="452">
        <v>0</v>
      </c>
      <c r="AD156" s="452">
        <v>0</v>
      </c>
      <c r="AE156" s="452">
        <v>0</v>
      </c>
      <c r="AF156" s="452">
        <v>0</v>
      </c>
      <c r="AG156" s="452">
        <v>0</v>
      </c>
      <c r="AH156" s="452">
        <v>0</v>
      </c>
      <c r="AI156" s="452">
        <v>0</v>
      </c>
      <c r="AJ156" s="452">
        <v>0</v>
      </c>
      <c r="AK156" s="452">
        <v>428.33256</v>
      </c>
    </row>
    <row r="157" spans="1:37" x14ac:dyDescent="0.3">
      <c r="A157" s="118"/>
      <c r="B157" s="18" t="s">
        <v>551</v>
      </c>
      <c r="C157" s="119">
        <v>2</v>
      </c>
      <c r="D157" s="119"/>
      <c r="E157" s="119"/>
      <c r="F157" s="119">
        <v>2</v>
      </c>
      <c r="G157" s="120">
        <v>6.33</v>
      </c>
      <c r="H157" s="120">
        <v>0.5</v>
      </c>
      <c r="I157" s="120"/>
      <c r="J157" s="120"/>
      <c r="K157" s="120">
        <v>1.7875000000000001</v>
      </c>
      <c r="L157" s="120">
        <v>2.145</v>
      </c>
      <c r="M157" s="120"/>
      <c r="N157" s="120">
        <v>0.32</v>
      </c>
      <c r="O157" s="120"/>
      <c r="P157" s="120"/>
      <c r="Q157" s="120"/>
      <c r="R157" s="120">
        <v>0.1366</v>
      </c>
      <c r="S157" s="120">
        <v>11.219099999999999</v>
      </c>
      <c r="T157" s="119">
        <v>242.33256</v>
      </c>
      <c r="U157" s="119">
        <v>74</v>
      </c>
      <c r="V157" s="119"/>
      <c r="W157" s="119"/>
      <c r="X157" s="93">
        <v>316.33256</v>
      </c>
      <c r="Y157" s="119"/>
      <c r="Z157" s="119"/>
      <c r="AA157" s="119"/>
      <c r="AB157" s="119"/>
      <c r="AC157" s="119"/>
      <c r="AD157" s="119"/>
      <c r="AE157" s="119"/>
      <c r="AF157" s="119"/>
      <c r="AG157" s="119"/>
      <c r="AH157" s="119"/>
      <c r="AI157" s="119"/>
      <c r="AJ157" s="119"/>
      <c r="AK157" s="145">
        <v>316.33256</v>
      </c>
    </row>
    <row r="158" spans="1:37" x14ac:dyDescent="0.3">
      <c r="A158" s="118"/>
      <c r="B158" s="18" t="s">
        <v>288</v>
      </c>
      <c r="C158" s="119"/>
      <c r="D158" s="119"/>
      <c r="E158" s="119"/>
      <c r="F158" s="119"/>
      <c r="G158" s="120"/>
      <c r="H158" s="120"/>
      <c r="I158" s="120"/>
      <c r="J158" s="120"/>
      <c r="K158" s="120"/>
      <c r="L158" s="120"/>
      <c r="M158" s="120"/>
      <c r="N158" s="120"/>
      <c r="O158" s="120"/>
      <c r="P158" s="120"/>
      <c r="Q158" s="120"/>
      <c r="R158" s="120"/>
      <c r="S158" s="120"/>
      <c r="T158" s="119"/>
      <c r="U158" s="119"/>
      <c r="V158" s="119">
        <v>12</v>
      </c>
      <c r="W158" s="119"/>
      <c r="X158" s="93">
        <v>12</v>
      </c>
      <c r="Y158" s="119"/>
      <c r="Z158" s="119"/>
      <c r="AA158" s="119"/>
      <c r="AB158" s="119"/>
      <c r="AC158" s="119"/>
      <c r="AD158" s="119"/>
      <c r="AE158" s="119"/>
      <c r="AF158" s="119"/>
      <c r="AG158" s="119"/>
      <c r="AH158" s="119"/>
      <c r="AI158" s="119"/>
      <c r="AJ158" s="119"/>
      <c r="AK158" s="145">
        <v>12</v>
      </c>
    </row>
    <row r="159" spans="1:37" x14ac:dyDescent="0.3">
      <c r="A159" s="118"/>
      <c r="B159" s="18" t="s">
        <v>287</v>
      </c>
      <c r="C159" s="119"/>
      <c r="D159" s="119"/>
      <c r="E159" s="119"/>
      <c r="F159" s="119"/>
      <c r="G159" s="120"/>
      <c r="H159" s="120"/>
      <c r="I159" s="120"/>
      <c r="J159" s="120"/>
      <c r="K159" s="120"/>
      <c r="L159" s="120"/>
      <c r="M159" s="120"/>
      <c r="N159" s="120"/>
      <c r="O159" s="120"/>
      <c r="P159" s="120"/>
      <c r="Q159" s="120"/>
      <c r="R159" s="120"/>
      <c r="S159" s="120"/>
      <c r="T159" s="119"/>
      <c r="U159" s="119"/>
      <c r="V159" s="119">
        <v>100</v>
      </c>
      <c r="W159" s="119"/>
      <c r="X159" s="93">
        <v>100</v>
      </c>
      <c r="Y159" s="119"/>
      <c r="Z159" s="119"/>
      <c r="AA159" s="119"/>
      <c r="AB159" s="119"/>
      <c r="AC159" s="119"/>
      <c r="AD159" s="119"/>
      <c r="AE159" s="119"/>
      <c r="AF159" s="119"/>
      <c r="AG159" s="119"/>
      <c r="AH159" s="119"/>
      <c r="AI159" s="119"/>
      <c r="AJ159" s="119"/>
      <c r="AK159" s="145">
        <v>100</v>
      </c>
    </row>
    <row r="160" spans="1:37" s="56" customFormat="1" ht="31.2" x14ac:dyDescent="0.3">
      <c r="A160" s="165" t="s">
        <v>94</v>
      </c>
      <c r="B160" s="453" t="s">
        <v>559</v>
      </c>
      <c r="C160" s="155"/>
      <c r="D160" s="155"/>
      <c r="E160" s="155"/>
      <c r="F160" s="155"/>
      <c r="G160" s="168"/>
      <c r="H160" s="168"/>
      <c r="I160" s="168"/>
      <c r="J160" s="168"/>
      <c r="K160" s="168">
        <v>0</v>
      </c>
      <c r="L160" s="168">
        <v>0</v>
      </c>
      <c r="M160" s="168"/>
      <c r="N160" s="168"/>
      <c r="O160" s="168"/>
      <c r="P160" s="168"/>
      <c r="Q160" s="168"/>
      <c r="R160" s="168">
        <v>0</v>
      </c>
      <c r="S160" s="168">
        <v>0</v>
      </c>
      <c r="T160" s="155">
        <v>0</v>
      </c>
      <c r="U160" s="155"/>
      <c r="V160" s="155"/>
      <c r="W160" s="155"/>
      <c r="X160" s="452">
        <v>562.4</v>
      </c>
      <c r="Y160" s="452">
        <v>0</v>
      </c>
      <c r="Z160" s="452">
        <v>0</v>
      </c>
      <c r="AA160" s="452">
        <v>0</v>
      </c>
      <c r="AB160" s="452">
        <v>0</v>
      </c>
      <c r="AC160" s="452">
        <v>0</v>
      </c>
      <c r="AD160" s="452">
        <v>0</v>
      </c>
      <c r="AE160" s="452">
        <v>0</v>
      </c>
      <c r="AF160" s="452">
        <v>0</v>
      </c>
      <c r="AG160" s="452">
        <v>0</v>
      </c>
      <c r="AH160" s="452">
        <v>0</v>
      </c>
      <c r="AI160" s="452">
        <v>0</v>
      </c>
      <c r="AJ160" s="452">
        <v>0</v>
      </c>
      <c r="AK160" s="452">
        <v>562.4</v>
      </c>
    </row>
    <row r="161" spans="1:37" s="95" customFormat="1" x14ac:dyDescent="0.3">
      <c r="A161" s="169"/>
      <c r="B161" s="94" t="s">
        <v>289</v>
      </c>
      <c r="C161" s="93"/>
      <c r="D161" s="93"/>
      <c r="E161" s="93"/>
      <c r="F161" s="93"/>
      <c r="G161" s="170">
        <v>3.5</v>
      </c>
      <c r="H161" s="170"/>
      <c r="I161" s="170"/>
      <c r="J161" s="170"/>
      <c r="K161" s="170"/>
      <c r="L161" s="170"/>
      <c r="M161" s="170"/>
      <c r="N161" s="170"/>
      <c r="O161" s="170"/>
      <c r="P161" s="170"/>
      <c r="Q161" s="170"/>
      <c r="R161" s="170"/>
      <c r="S161" s="120">
        <v>3.5</v>
      </c>
      <c r="T161" s="119">
        <v>75.599999999999994</v>
      </c>
      <c r="U161" s="93">
        <v>15</v>
      </c>
      <c r="V161" s="93"/>
      <c r="W161" s="119"/>
      <c r="X161" s="93">
        <v>90.6</v>
      </c>
      <c r="Y161" s="93"/>
      <c r="Z161" s="93"/>
      <c r="AA161" s="93"/>
      <c r="AB161" s="93"/>
      <c r="AC161" s="93"/>
      <c r="AD161" s="93"/>
      <c r="AE161" s="93"/>
      <c r="AF161" s="93"/>
      <c r="AG161" s="93"/>
      <c r="AH161" s="93"/>
      <c r="AI161" s="93"/>
      <c r="AJ161" s="93"/>
      <c r="AK161" s="145">
        <v>90.6</v>
      </c>
    </row>
    <row r="162" spans="1:37" s="95" customFormat="1" x14ac:dyDescent="0.3">
      <c r="A162" s="169"/>
      <c r="B162" s="94" t="s">
        <v>290</v>
      </c>
      <c r="C162" s="93"/>
      <c r="D162" s="93"/>
      <c r="E162" s="93"/>
      <c r="F162" s="93"/>
      <c r="G162" s="170">
        <v>3.5</v>
      </c>
      <c r="H162" s="170"/>
      <c r="I162" s="170"/>
      <c r="J162" s="170"/>
      <c r="K162" s="170"/>
      <c r="L162" s="170"/>
      <c r="M162" s="170"/>
      <c r="N162" s="170"/>
      <c r="O162" s="170"/>
      <c r="P162" s="170"/>
      <c r="Q162" s="170"/>
      <c r="R162" s="170"/>
      <c r="S162" s="120">
        <v>3.5</v>
      </c>
      <c r="T162" s="119">
        <v>75.599999999999994</v>
      </c>
      <c r="U162" s="93">
        <v>15</v>
      </c>
      <c r="V162" s="93"/>
      <c r="W162" s="119"/>
      <c r="X162" s="93">
        <v>90.6</v>
      </c>
      <c r="Y162" s="93"/>
      <c r="Z162" s="93"/>
      <c r="AA162" s="93"/>
      <c r="AB162" s="93"/>
      <c r="AC162" s="93"/>
      <c r="AD162" s="93"/>
      <c r="AE162" s="93"/>
      <c r="AF162" s="93"/>
      <c r="AG162" s="93"/>
      <c r="AH162" s="93"/>
      <c r="AI162" s="93"/>
      <c r="AJ162" s="93"/>
      <c r="AK162" s="145">
        <v>90.6</v>
      </c>
    </row>
    <row r="163" spans="1:37" s="95" customFormat="1" x14ac:dyDescent="0.3">
      <c r="A163" s="169"/>
      <c r="B163" s="94" t="s">
        <v>291</v>
      </c>
      <c r="C163" s="93"/>
      <c r="D163" s="93"/>
      <c r="E163" s="93"/>
      <c r="F163" s="93"/>
      <c r="G163" s="170">
        <v>3.5</v>
      </c>
      <c r="H163" s="170"/>
      <c r="I163" s="170"/>
      <c r="J163" s="170"/>
      <c r="K163" s="170"/>
      <c r="L163" s="170"/>
      <c r="M163" s="170"/>
      <c r="N163" s="170"/>
      <c r="O163" s="170"/>
      <c r="P163" s="170"/>
      <c r="Q163" s="170"/>
      <c r="R163" s="170"/>
      <c r="S163" s="120">
        <v>3.5</v>
      </c>
      <c r="T163" s="119">
        <v>75.599999999999994</v>
      </c>
      <c r="U163" s="93">
        <v>15</v>
      </c>
      <c r="V163" s="93"/>
      <c r="W163" s="119"/>
      <c r="X163" s="93">
        <v>90.6</v>
      </c>
      <c r="Y163" s="93"/>
      <c r="Z163" s="93"/>
      <c r="AA163" s="93"/>
      <c r="AB163" s="93"/>
      <c r="AC163" s="93"/>
      <c r="AD163" s="93"/>
      <c r="AE163" s="93"/>
      <c r="AF163" s="93"/>
      <c r="AG163" s="93"/>
      <c r="AH163" s="93"/>
      <c r="AI163" s="93"/>
      <c r="AJ163" s="93"/>
      <c r="AK163" s="145">
        <v>90.6</v>
      </c>
    </row>
    <row r="164" spans="1:37" s="95" customFormat="1" x14ac:dyDescent="0.3">
      <c r="A164" s="169"/>
      <c r="B164" s="94" t="s">
        <v>292</v>
      </c>
      <c r="C164" s="93"/>
      <c r="D164" s="93"/>
      <c r="E164" s="93"/>
      <c r="F164" s="93"/>
      <c r="G164" s="170">
        <v>3.5</v>
      </c>
      <c r="H164" s="170"/>
      <c r="I164" s="170"/>
      <c r="J164" s="170"/>
      <c r="K164" s="170"/>
      <c r="L164" s="170"/>
      <c r="M164" s="170"/>
      <c r="N164" s="170"/>
      <c r="O164" s="170"/>
      <c r="P164" s="170"/>
      <c r="Q164" s="170"/>
      <c r="R164" s="170"/>
      <c r="S164" s="120">
        <v>3.5</v>
      </c>
      <c r="T164" s="119">
        <v>75.599999999999994</v>
      </c>
      <c r="U164" s="93">
        <v>15</v>
      </c>
      <c r="V164" s="93"/>
      <c r="W164" s="119"/>
      <c r="X164" s="93">
        <v>90.6</v>
      </c>
      <c r="Y164" s="93"/>
      <c r="Z164" s="93"/>
      <c r="AA164" s="93"/>
      <c r="AB164" s="93"/>
      <c r="AC164" s="93"/>
      <c r="AD164" s="93"/>
      <c r="AE164" s="93"/>
      <c r="AF164" s="93"/>
      <c r="AG164" s="93"/>
      <c r="AH164" s="93"/>
      <c r="AI164" s="93"/>
      <c r="AJ164" s="93"/>
      <c r="AK164" s="145">
        <v>90.6</v>
      </c>
    </row>
    <row r="165" spans="1:37" s="95" customFormat="1" x14ac:dyDescent="0.3">
      <c r="A165" s="169"/>
      <c r="B165" s="94" t="s">
        <v>395</v>
      </c>
      <c r="C165" s="93"/>
      <c r="D165" s="93"/>
      <c r="E165" s="93"/>
      <c r="F165" s="93"/>
      <c r="G165" s="170"/>
      <c r="H165" s="170"/>
      <c r="I165" s="170"/>
      <c r="J165" s="170"/>
      <c r="K165" s="170"/>
      <c r="L165" s="170"/>
      <c r="M165" s="170"/>
      <c r="N165" s="170"/>
      <c r="O165" s="170"/>
      <c r="P165" s="170"/>
      <c r="Q165" s="170"/>
      <c r="R165" s="170"/>
      <c r="S165" s="120">
        <v>0</v>
      </c>
      <c r="T165" s="119">
        <v>0</v>
      </c>
      <c r="U165" s="93"/>
      <c r="V165" s="93">
        <v>200</v>
      </c>
      <c r="W165" s="119"/>
      <c r="X165" s="93">
        <v>200</v>
      </c>
      <c r="Y165" s="93"/>
      <c r="Z165" s="93"/>
      <c r="AA165" s="93"/>
      <c r="AB165" s="93"/>
      <c r="AC165" s="93"/>
      <c r="AD165" s="93"/>
      <c r="AE165" s="93"/>
      <c r="AF165" s="93"/>
      <c r="AG165" s="93"/>
      <c r="AH165" s="93"/>
      <c r="AI165" s="93"/>
      <c r="AJ165" s="93"/>
      <c r="AK165" s="145">
        <v>200</v>
      </c>
    </row>
    <row r="166" spans="1:37" s="412" customFormat="1" ht="15.75" hidden="1" customHeight="1" x14ac:dyDescent="0.3">
      <c r="A166" s="406"/>
      <c r="B166" s="407"/>
      <c r="C166" s="408"/>
      <c r="D166" s="408"/>
      <c r="E166" s="408"/>
      <c r="F166" s="408"/>
      <c r="G166" s="409"/>
      <c r="H166" s="409"/>
      <c r="I166" s="409"/>
      <c r="J166" s="409"/>
      <c r="K166" s="409"/>
      <c r="L166" s="409"/>
      <c r="M166" s="409"/>
      <c r="N166" s="409"/>
      <c r="O166" s="409"/>
      <c r="P166" s="409"/>
      <c r="Q166" s="409"/>
      <c r="R166" s="409"/>
      <c r="S166" s="410"/>
      <c r="T166" s="411"/>
      <c r="U166" s="408"/>
      <c r="V166" s="408"/>
      <c r="W166" s="411"/>
      <c r="X166" s="408"/>
      <c r="Y166" s="408"/>
      <c r="Z166" s="408"/>
      <c r="AA166" s="408"/>
      <c r="AB166" s="408"/>
      <c r="AC166" s="408"/>
      <c r="AD166" s="408"/>
      <c r="AE166" s="408"/>
      <c r="AF166" s="408"/>
      <c r="AG166" s="408"/>
      <c r="AH166" s="408"/>
      <c r="AI166" s="408"/>
      <c r="AJ166" s="408"/>
      <c r="AK166" s="145">
        <v>0</v>
      </c>
    </row>
    <row r="167" spans="1:37" s="56" customFormat="1" x14ac:dyDescent="0.3">
      <c r="A167" s="165" t="s">
        <v>97</v>
      </c>
      <c r="B167" s="166" t="s">
        <v>293</v>
      </c>
      <c r="C167" s="155"/>
      <c r="D167" s="155"/>
      <c r="E167" s="155"/>
      <c r="F167" s="155"/>
      <c r="G167" s="168"/>
      <c r="H167" s="168"/>
      <c r="I167" s="168"/>
      <c r="J167" s="168"/>
      <c r="K167" s="168">
        <v>0</v>
      </c>
      <c r="L167" s="168"/>
      <c r="M167" s="168"/>
      <c r="N167" s="168"/>
      <c r="O167" s="168"/>
      <c r="P167" s="168"/>
      <c r="Q167" s="168"/>
      <c r="R167" s="168">
        <v>0</v>
      </c>
      <c r="S167" s="168">
        <v>0</v>
      </c>
      <c r="T167" s="155">
        <v>0</v>
      </c>
      <c r="U167" s="155">
        <v>0</v>
      </c>
      <c r="V167" s="155"/>
      <c r="W167" s="155"/>
      <c r="X167" s="155">
        <v>0</v>
      </c>
      <c r="Y167" s="155">
        <v>388579.32155162602</v>
      </c>
      <c r="Z167" s="155">
        <v>17540.877452200002</v>
      </c>
      <c r="AA167" s="155">
        <v>0</v>
      </c>
      <c r="AB167" s="155">
        <v>3278</v>
      </c>
      <c r="AC167" s="155">
        <v>1187.3374399999998</v>
      </c>
      <c r="AD167" s="155">
        <v>4050</v>
      </c>
      <c r="AE167" s="155">
        <v>2005</v>
      </c>
      <c r="AF167" s="155">
        <v>1289</v>
      </c>
      <c r="AG167" s="155">
        <v>0</v>
      </c>
      <c r="AH167" s="155">
        <v>0</v>
      </c>
      <c r="AI167" s="155">
        <v>0</v>
      </c>
      <c r="AJ167" s="155">
        <v>0</v>
      </c>
      <c r="AK167" s="155">
        <v>417929.53644382599</v>
      </c>
    </row>
    <row r="168" spans="1:37" s="56" customFormat="1" x14ac:dyDescent="0.3">
      <c r="A168" s="165" t="s">
        <v>13</v>
      </c>
      <c r="B168" s="166" t="s">
        <v>294</v>
      </c>
      <c r="C168" s="155"/>
      <c r="D168" s="155"/>
      <c r="E168" s="155"/>
      <c r="F168" s="155"/>
      <c r="G168" s="168"/>
      <c r="H168" s="168"/>
      <c r="I168" s="168"/>
      <c r="J168" s="168"/>
      <c r="K168" s="168">
        <v>0</v>
      </c>
      <c r="L168" s="168"/>
      <c r="M168" s="168"/>
      <c r="N168" s="168"/>
      <c r="O168" s="168"/>
      <c r="P168" s="168"/>
      <c r="Q168" s="168"/>
      <c r="R168" s="168">
        <v>0</v>
      </c>
      <c r="S168" s="168">
        <v>0</v>
      </c>
      <c r="T168" s="155">
        <v>0</v>
      </c>
      <c r="U168" s="155">
        <v>0</v>
      </c>
      <c r="V168" s="155"/>
      <c r="W168" s="155"/>
      <c r="X168" s="155">
        <v>0</v>
      </c>
      <c r="Y168" s="155">
        <v>388579.32155162602</v>
      </c>
      <c r="Z168" s="155">
        <v>0</v>
      </c>
      <c r="AA168" s="155">
        <v>0</v>
      </c>
      <c r="AB168" s="155">
        <v>0</v>
      </c>
      <c r="AC168" s="155">
        <v>0</v>
      </c>
      <c r="AD168" s="155">
        <v>0</v>
      </c>
      <c r="AE168" s="155">
        <v>0</v>
      </c>
      <c r="AF168" s="155">
        <v>0</v>
      </c>
      <c r="AG168" s="155">
        <v>0</v>
      </c>
      <c r="AH168" s="155">
        <v>0</v>
      </c>
      <c r="AI168" s="155">
        <v>0</v>
      </c>
      <c r="AJ168" s="155">
        <v>0</v>
      </c>
      <c r="AK168" s="155">
        <v>388579.32155162602</v>
      </c>
    </row>
    <row r="169" spans="1:37" s="457" customFormat="1" ht="33" customHeight="1" x14ac:dyDescent="0.3">
      <c r="A169" s="454">
        <v>1</v>
      </c>
      <c r="B169" s="453" t="s">
        <v>295</v>
      </c>
      <c r="C169" s="452"/>
      <c r="D169" s="452"/>
      <c r="E169" s="452"/>
      <c r="F169" s="452"/>
      <c r="G169" s="456"/>
      <c r="H169" s="456"/>
      <c r="I169" s="456"/>
      <c r="J169" s="456"/>
      <c r="K169" s="456"/>
      <c r="L169" s="456"/>
      <c r="M169" s="456"/>
      <c r="N169" s="456"/>
      <c r="O169" s="456"/>
      <c r="P169" s="456"/>
      <c r="Q169" s="456"/>
      <c r="R169" s="456"/>
      <c r="S169" s="456"/>
      <c r="T169" s="452"/>
      <c r="U169" s="452"/>
      <c r="V169" s="452"/>
      <c r="W169" s="452"/>
      <c r="X169" s="452"/>
      <c r="Y169" s="452">
        <v>1931.8584642000001</v>
      </c>
      <c r="Z169" s="452"/>
      <c r="AA169" s="452"/>
      <c r="AB169" s="452"/>
      <c r="AC169" s="452"/>
      <c r="AD169" s="452"/>
      <c r="AE169" s="452"/>
      <c r="AF169" s="452"/>
      <c r="AG169" s="452"/>
      <c r="AH169" s="452"/>
      <c r="AI169" s="452"/>
      <c r="AJ169" s="452"/>
      <c r="AK169" s="464">
        <v>1931.8584642000001</v>
      </c>
    </row>
    <row r="170" spans="1:37" ht="16.2" customHeight="1" x14ac:dyDescent="0.3">
      <c r="A170" s="118"/>
      <c r="B170" s="18" t="s">
        <v>551</v>
      </c>
      <c r="C170" s="119"/>
      <c r="D170" s="119">
        <v>5</v>
      </c>
      <c r="E170" s="119"/>
      <c r="F170" s="119">
        <v>5</v>
      </c>
      <c r="G170" s="120">
        <v>18.3</v>
      </c>
      <c r="H170" s="120">
        <v>0.4</v>
      </c>
      <c r="I170" s="120">
        <v>0.24900000000000003</v>
      </c>
      <c r="J170" s="120"/>
      <c r="K170" s="120"/>
      <c r="L170" s="120"/>
      <c r="M170" s="120">
        <v>5.6846999999999994</v>
      </c>
      <c r="N170" s="120">
        <v>0.1</v>
      </c>
      <c r="O170" s="120"/>
      <c r="P170" s="120"/>
      <c r="Q170" s="120"/>
      <c r="R170" s="120">
        <v>4.4530149999999997</v>
      </c>
      <c r="S170" s="120">
        <v>29.186715</v>
      </c>
      <c r="T170" s="119">
        <v>521.85846420000007</v>
      </c>
      <c r="U170" s="119">
        <v>155</v>
      </c>
      <c r="V170" s="119"/>
      <c r="W170" s="119"/>
      <c r="X170" s="119"/>
      <c r="Y170" s="119">
        <v>676.85846420000007</v>
      </c>
      <c r="Z170" s="119"/>
      <c r="AA170" s="119"/>
      <c r="AB170" s="119"/>
      <c r="AC170" s="119"/>
      <c r="AD170" s="119"/>
      <c r="AE170" s="119"/>
      <c r="AF170" s="119"/>
      <c r="AG170" s="119"/>
      <c r="AH170" s="119"/>
      <c r="AI170" s="119"/>
      <c r="AJ170" s="119"/>
      <c r="AK170" s="145">
        <v>676.85846420000007</v>
      </c>
    </row>
    <row r="171" spans="1:37" x14ac:dyDescent="0.3">
      <c r="A171" s="118"/>
      <c r="B171" s="18" t="s">
        <v>296</v>
      </c>
      <c r="C171" s="119"/>
      <c r="D171" s="119"/>
      <c r="E171" s="119"/>
      <c r="F171" s="119"/>
      <c r="G171" s="120"/>
      <c r="H171" s="120"/>
      <c r="I171" s="120"/>
      <c r="J171" s="120"/>
      <c r="K171" s="120"/>
      <c r="L171" s="120"/>
      <c r="M171" s="120"/>
      <c r="N171" s="120"/>
      <c r="O171" s="120"/>
      <c r="P171" s="120"/>
      <c r="Q171" s="120"/>
      <c r="R171" s="120"/>
      <c r="S171" s="120"/>
      <c r="T171" s="119"/>
      <c r="U171" s="119"/>
      <c r="V171" s="119"/>
      <c r="W171" s="119"/>
      <c r="X171" s="119"/>
      <c r="Y171" s="119">
        <v>1101</v>
      </c>
      <c r="Z171" s="119"/>
      <c r="AA171" s="119"/>
      <c r="AB171" s="119"/>
      <c r="AC171" s="119"/>
      <c r="AD171" s="119"/>
      <c r="AE171" s="119"/>
      <c r="AF171" s="119"/>
      <c r="AG171" s="119"/>
      <c r="AH171" s="119"/>
      <c r="AI171" s="119"/>
      <c r="AJ171" s="119"/>
      <c r="AK171" s="145">
        <v>1101</v>
      </c>
    </row>
    <row r="172" spans="1:37" x14ac:dyDescent="0.3">
      <c r="A172" s="118"/>
      <c r="B172" s="18" t="s">
        <v>358</v>
      </c>
      <c r="C172" s="119"/>
      <c r="D172" s="119"/>
      <c r="E172" s="119"/>
      <c r="F172" s="119"/>
      <c r="G172" s="120"/>
      <c r="H172" s="120"/>
      <c r="I172" s="120"/>
      <c r="J172" s="120"/>
      <c r="K172" s="120"/>
      <c r="L172" s="120"/>
      <c r="M172" s="120"/>
      <c r="N172" s="120"/>
      <c r="O172" s="120"/>
      <c r="P172" s="120"/>
      <c r="Q172" s="120"/>
      <c r="R172" s="120"/>
      <c r="S172" s="120"/>
      <c r="T172" s="119"/>
      <c r="U172" s="119"/>
      <c r="V172" s="119"/>
      <c r="W172" s="119"/>
      <c r="X172" s="119"/>
      <c r="Y172" s="119">
        <v>154</v>
      </c>
      <c r="Z172" s="119"/>
      <c r="AA172" s="119"/>
      <c r="AB172" s="119"/>
      <c r="AC172" s="119"/>
      <c r="AD172" s="119"/>
      <c r="AE172" s="119"/>
      <c r="AF172" s="119"/>
      <c r="AG172" s="119"/>
      <c r="AH172" s="119"/>
      <c r="AI172" s="119"/>
      <c r="AJ172" s="119"/>
      <c r="AK172" s="145">
        <v>154</v>
      </c>
    </row>
    <row r="173" spans="1:37" s="457" customFormat="1" x14ac:dyDescent="0.3">
      <c r="A173" s="454">
        <v>2</v>
      </c>
      <c r="B173" s="455" t="s">
        <v>560</v>
      </c>
      <c r="C173" s="452"/>
      <c r="D173" s="452"/>
      <c r="E173" s="452"/>
      <c r="F173" s="452"/>
      <c r="G173" s="456"/>
      <c r="H173" s="456"/>
      <c r="I173" s="456"/>
      <c r="J173" s="456"/>
      <c r="K173" s="456"/>
      <c r="L173" s="456"/>
      <c r="M173" s="456"/>
      <c r="N173" s="456"/>
      <c r="O173" s="456"/>
      <c r="P173" s="456"/>
      <c r="Q173" s="456"/>
      <c r="R173" s="456"/>
      <c r="S173" s="456"/>
      <c r="T173" s="452"/>
      <c r="U173" s="452"/>
      <c r="V173" s="452"/>
      <c r="W173" s="452"/>
      <c r="X173" s="452">
        <v>0</v>
      </c>
      <c r="Y173" s="452">
        <v>386647.46308742603</v>
      </c>
      <c r="Z173" s="452">
        <v>0</v>
      </c>
      <c r="AA173" s="452">
        <v>0</v>
      </c>
      <c r="AB173" s="452">
        <v>0</v>
      </c>
      <c r="AC173" s="452">
        <v>0</v>
      </c>
      <c r="AD173" s="452">
        <v>0</v>
      </c>
      <c r="AE173" s="452">
        <v>0</v>
      </c>
      <c r="AF173" s="452">
        <v>0</v>
      </c>
      <c r="AG173" s="452">
        <v>0</v>
      </c>
      <c r="AH173" s="452">
        <v>0</v>
      </c>
      <c r="AI173" s="452">
        <v>0</v>
      </c>
      <c r="AJ173" s="452">
        <v>0</v>
      </c>
      <c r="AK173" s="452">
        <v>386647.46308742603</v>
      </c>
    </row>
    <row r="174" spans="1:37" ht="32.4" customHeight="1" x14ac:dyDescent="0.3">
      <c r="A174" s="118"/>
      <c r="B174" s="167" t="s">
        <v>562</v>
      </c>
      <c r="C174" s="119"/>
      <c r="D174" s="119"/>
      <c r="E174" s="119"/>
      <c r="F174" s="119"/>
      <c r="G174" s="120"/>
      <c r="H174" s="120"/>
      <c r="I174" s="120"/>
      <c r="J174" s="120"/>
      <c r="K174" s="120">
        <v>0</v>
      </c>
      <c r="L174" s="120"/>
      <c r="M174" s="120"/>
      <c r="N174" s="120"/>
      <c r="O174" s="120"/>
      <c r="P174" s="120"/>
      <c r="Q174" s="120"/>
      <c r="R174" s="120">
        <v>0</v>
      </c>
      <c r="S174" s="120">
        <v>0</v>
      </c>
      <c r="T174" s="119">
        <v>0</v>
      </c>
      <c r="U174" s="119">
        <v>0</v>
      </c>
      <c r="V174" s="119"/>
      <c r="W174" s="119"/>
      <c r="X174" s="119"/>
      <c r="Y174" s="20">
        <v>375500.46308742603</v>
      </c>
      <c r="Z174" s="119"/>
      <c r="AA174" s="119"/>
      <c r="AB174" s="119"/>
      <c r="AC174" s="119"/>
      <c r="AD174" s="119"/>
      <c r="AE174" s="119"/>
      <c r="AF174" s="119"/>
      <c r="AG174" s="119"/>
      <c r="AH174" s="119"/>
      <c r="AI174" s="119"/>
      <c r="AJ174" s="119"/>
      <c r="AK174" s="145">
        <v>375500.46308742603</v>
      </c>
    </row>
    <row r="175" spans="1:37" ht="31.2" x14ac:dyDescent="0.3">
      <c r="A175" s="118"/>
      <c r="B175" s="167" t="s">
        <v>297</v>
      </c>
      <c r="C175" s="119"/>
      <c r="D175" s="119"/>
      <c r="E175" s="119"/>
      <c r="F175" s="119"/>
      <c r="G175" s="120"/>
      <c r="H175" s="120"/>
      <c r="I175" s="120"/>
      <c r="J175" s="120"/>
      <c r="K175" s="120"/>
      <c r="L175" s="120"/>
      <c r="M175" s="120"/>
      <c r="N175" s="120"/>
      <c r="O175" s="120"/>
      <c r="P175" s="120"/>
      <c r="Q175" s="120"/>
      <c r="R175" s="120"/>
      <c r="S175" s="120"/>
      <c r="T175" s="119"/>
      <c r="U175" s="119"/>
      <c r="V175" s="119"/>
      <c r="W175" s="119"/>
      <c r="X175" s="119"/>
      <c r="Y175" s="20">
        <v>451</v>
      </c>
      <c r="Z175" s="119"/>
      <c r="AA175" s="119"/>
      <c r="AB175" s="119"/>
      <c r="AC175" s="119"/>
      <c r="AD175" s="119"/>
      <c r="AE175" s="119"/>
      <c r="AF175" s="119"/>
      <c r="AG175" s="119"/>
      <c r="AH175" s="119"/>
      <c r="AI175" s="119"/>
      <c r="AJ175" s="119"/>
      <c r="AK175" s="145">
        <v>451</v>
      </c>
    </row>
    <row r="176" spans="1:37" ht="36" customHeight="1" x14ac:dyDescent="0.3">
      <c r="A176" s="118"/>
      <c r="B176" s="459" t="s">
        <v>563</v>
      </c>
      <c r="C176" s="119"/>
      <c r="D176" s="119"/>
      <c r="E176" s="119"/>
      <c r="F176" s="119"/>
      <c r="G176" s="120"/>
      <c r="H176" s="120"/>
      <c r="I176" s="120"/>
      <c r="J176" s="120"/>
      <c r="K176" s="120"/>
      <c r="L176" s="120"/>
      <c r="M176" s="120"/>
      <c r="N176" s="120"/>
      <c r="O176" s="120"/>
      <c r="P176" s="120"/>
      <c r="Q176" s="120"/>
      <c r="R176" s="120"/>
      <c r="S176" s="120"/>
      <c r="T176" s="119"/>
      <c r="U176" s="119"/>
      <c r="V176" s="119"/>
      <c r="W176" s="119"/>
      <c r="X176" s="119"/>
      <c r="Y176" s="20">
        <v>483</v>
      </c>
      <c r="Z176" s="119"/>
      <c r="AA176" s="119"/>
      <c r="AB176" s="119"/>
      <c r="AC176" s="119"/>
      <c r="AD176" s="119"/>
      <c r="AE176" s="119"/>
      <c r="AF176" s="119"/>
      <c r="AG176" s="119"/>
      <c r="AH176" s="119"/>
      <c r="AI176" s="119"/>
      <c r="AJ176" s="119"/>
      <c r="AK176" s="145">
        <v>483</v>
      </c>
    </row>
    <row r="177" spans="1:37" x14ac:dyDescent="0.3">
      <c r="A177" s="118"/>
      <c r="B177" s="18" t="s">
        <v>581</v>
      </c>
      <c r="C177" s="119"/>
      <c r="D177" s="119"/>
      <c r="E177" s="119"/>
      <c r="F177" s="119"/>
      <c r="G177" s="120"/>
      <c r="H177" s="120"/>
      <c r="I177" s="120"/>
      <c r="J177" s="120"/>
      <c r="K177" s="120"/>
      <c r="L177" s="120"/>
      <c r="M177" s="120"/>
      <c r="N177" s="120"/>
      <c r="O177" s="120"/>
      <c r="P177" s="120"/>
      <c r="Q177" s="120"/>
      <c r="R177" s="120"/>
      <c r="S177" s="120"/>
      <c r="T177" s="119"/>
      <c r="U177" s="119"/>
      <c r="V177" s="119"/>
      <c r="W177" s="119"/>
      <c r="X177" s="119"/>
      <c r="Y177" s="20">
        <v>863</v>
      </c>
      <c r="Z177" s="119"/>
      <c r="AA177" s="119"/>
      <c r="AB177" s="119"/>
      <c r="AC177" s="119"/>
      <c r="AD177" s="119"/>
      <c r="AE177" s="119"/>
      <c r="AF177" s="119"/>
      <c r="AG177" s="119"/>
      <c r="AH177" s="119"/>
      <c r="AI177" s="119"/>
      <c r="AJ177" s="119"/>
      <c r="AK177" s="145">
        <v>863</v>
      </c>
    </row>
    <row r="178" spans="1:37" ht="34.5" customHeight="1" x14ac:dyDescent="0.3">
      <c r="A178" s="118"/>
      <c r="B178" s="167" t="s">
        <v>564</v>
      </c>
      <c r="C178" s="119"/>
      <c r="D178" s="119"/>
      <c r="E178" s="119"/>
      <c r="F178" s="119"/>
      <c r="G178" s="120"/>
      <c r="H178" s="120"/>
      <c r="I178" s="120"/>
      <c r="J178" s="120"/>
      <c r="K178" s="120"/>
      <c r="L178" s="120"/>
      <c r="M178" s="120"/>
      <c r="N178" s="120"/>
      <c r="O178" s="120"/>
      <c r="P178" s="120"/>
      <c r="Q178" s="120"/>
      <c r="R178" s="120"/>
      <c r="S178" s="120"/>
      <c r="T178" s="119"/>
      <c r="U178" s="119"/>
      <c r="V178" s="119"/>
      <c r="W178" s="119"/>
      <c r="X178" s="119"/>
      <c r="Y178" s="20">
        <v>18</v>
      </c>
      <c r="Z178" s="119"/>
      <c r="AA178" s="119"/>
      <c r="AB178" s="119"/>
      <c r="AC178" s="119"/>
      <c r="AD178" s="119"/>
      <c r="AE178" s="119"/>
      <c r="AF178" s="119"/>
      <c r="AG178" s="119"/>
      <c r="AH178" s="119"/>
      <c r="AI178" s="119"/>
      <c r="AJ178" s="119"/>
      <c r="AK178" s="145">
        <v>18</v>
      </c>
    </row>
    <row r="179" spans="1:37" x14ac:dyDescent="0.3">
      <c r="A179" s="118"/>
      <c r="B179" s="167" t="s">
        <v>595</v>
      </c>
      <c r="C179" s="119"/>
      <c r="D179" s="119"/>
      <c r="E179" s="119"/>
      <c r="F179" s="119"/>
      <c r="G179" s="120"/>
      <c r="H179" s="120"/>
      <c r="I179" s="120"/>
      <c r="J179" s="120"/>
      <c r="K179" s="120"/>
      <c r="L179" s="120"/>
      <c r="M179" s="120"/>
      <c r="N179" s="120"/>
      <c r="O179" s="120"/>
      <c r="P179" s="120"/>
      <c r="Q179" s="120"/>
      <c r="R179" s="120"/>
      <c r="S179" s="120"/>
      <c r="T179" s="119"/>
      <c r="U179" s="119"/>
      <c r="V179" s="119"/>
      <c r="W179" s="119"/>
      <c r="X179" s="119"/>
      <c r="Y179" s="20">
        <v>593</v>
      </c>
      <c r="Z179" s="119"/>
      <c r="AA179" s="119"/>
      <c r="AB179" s="119"/>
      <c r="AC179" s="119"/>
      <c r="AD179" s="119"/>
      <c r="AE179" s="119"/>
      <c r="AF179" s="119"/>
      <c r="AG179" s="119"/>
      <c r="AH179" s="119"/>
      <c r="AI179" s="119"/>
      <c r="AJ179" s="119"/>
      <c r="AK179" s="145">
        <v>593</v>
      </c>
    </row>
    <row r="180" spans="1:37" ht="31.2" x14ac:dyDescent="0.3">
      <c r="A180" s="118"/>
      <c r="B180" s="167" t="s">
        <v>586</v>
      </c>
      <c r="C180" s="119"/>
      <c r="D180" s="119"/>
      <c r="E180" s="119"/>
      <c r="F180" s="119"/>
      <c r="G180" s="120"/>
      <c r="H180" s="120"/>
      <c r="I180" s="120"/>
      <c r="J180" s="120"/>
      <c r="K180" s="120"/>
      <c r="L180" s="120"/>
      <c r="M180" s="120"/>
      <c r="N180" s="120"/>
      <c r="O180" s="120"/>
      <c r="P180" s="120"/>
      <c r="Q180" s="120"/>
      <c r="R180" s="120"/>
      <c r="S180" s="120"/>
      <c r="T180" s="119"/>
      <c r="U180" s="119"/>
      <c r="V180" s="119"/>
      <c r="W180" s="119"/>
      <c r="X180" s="119"/>
      <c r="Y180" s="20">
        <v>8739</v>
      </c>
      <c r="Z180" s="119"/>
      <c r="AA180" s="119"/>
      <c r="AB180" s="119"/>
      <c r="AC180" s="119"/>
      <c r="AD180" s="119"/>
      <c r="AE180" s="119"/>
      <c r="AF180" s="119"/>
      <c r="AG180" s="119"/>
      <c r="AH180" s="119"/>
      <c r="AI180" s="119"/>
      <c r="AJ180" s="119"/>
      <c r="AK180" s="145">
        <v>8739</v>
      </c>
    </row>
    <row r="181" spans="1:37" s="56" customFormat="1" x14ac:dyDescent="0.3">
      <c r="A181" s="165" t="s">
        <v>39</v>
      </c>
      <c r="B181" s="166" t="s">
        <v>73</v>
      </c>
      <c r="C181" s="155">
        <v>0</v>
      </c>
      <c r="D181" s="155">
        <v>25</v>
      </c>
      <c r="E181" s="155">
        <v>0</v>
      </c>
      <c r="F181" s="155">
        <v>25</v>
      </c>
      <c r="G181" s="155">
        <v>93.080000000000013</v>
      </c>
      <c r="H181" s="155">
        <v>1.2999999999999998</v>
      </c>
      <c r="I181" s="155">
        <v>0.24900000000000003</v>
      </c>
      <c r="J181" s="155">
        <v>0</v>
      </c>
      <c r="K181" s="155">
        <v>0</v>
      </c>
      <c r="L181" s="155">
        <v>0</v>
      </c>
      <c r="M181" s="155">
        <v>2.859</v>
      </c>
      <c r="N181" s="155">
        <v>0.2</v>
      </c>
      <c r="O181" s="155">
        <v>0</v>
      </c>
      <c r="P181" s="155"/>
      <c r="Q181" s="155"/>
      <c r="R181" s="155">
        <v>21.903815000000002</v>
      </c>
      <c r="S181" s="155">
        <v>119.59181500000003</v>
      </c>
      <c r="T181" s="155">
        <v>2290.8774522000003</v>
      </c>
      <c r="U181" s="155">
        <v>675</v>
      </c>
      <c r="V181" s="155">
        <v>0</v>
      </c>
      <c r="W181" s="155"/>
      <c r="X181" s="155">
        <v>0</v>
      </c>
      <c r="Y181" s="155">
        <v>0</v>
      </c>
      <c r="Z181" s="155">
        <v>17540.877452200002</v>
      </c>
      <c r="AA181" s="155">
        <v>0</v>
      </c>
      <c r="AB181" s="155">
        <v>0</v>
      </c>
      <c r="AC181" s="155">
        <v>0</v>
      </c>
      <c r="AD181" s="155">
        <v>0</v>
      </c>
      <c r="AE181" s="155">
        <v>0</v>
      </c>
      <c r="AF181" s="155">
        <v>0</v>
      </c>
      <c r="AG181" s="155">
        <v>0</v>
      </c>
      <c r="AH181" s="155">
        <v>0</v>
      </c>
      <c r="AI181" s="155">
        <v>0</v>
      </c>
      <c r="AJ181" s="155">
        <v>0</v>
      </c>
      <c r="AK181" s="155">
        <v>17540.877452200002</v>
      </c>
    </row>
    <row r="182" spans="1:37" s="457" customFormat="1" ht="31.2" x14ac:dyDescent="0.3">
      <c r="A182" s="454">
        <v>1</v>
      </c>
      <c r="B182" s="453" t="s">
        <v>572</v>
      </c>
      <c r="C182" s="452"/>
      <c r="D182" s="452"/>
      <c r="E182" s="452"/>
      <c r="F182" s="452"/>
      <c r="G182" s="452"/>
      <c r="H182" s="452"/>
      <c r="I182" s="452"/>
      <c r="J182" s="452"/>
      <c r="K182" s="452"/>
      <c r="L182" s="452"/>
      <c r="M182" s="452"/>
      <c r="N182" s="452"/>
      <c r="O182" s="452"/>
      <c r="P182" s="452"/>
      <c r="Q182" s="452"/>
      <c r="R182" s="452"/>
      <c r="S182" s="452"/>
      <c r="T182" s="452"/>
      <c r="U182" s="452"/>
      <c r="V182" s="452"/>
      <c r="W182" s="452"/>
      <c r="X182" s="452">
        <v>0</v>
      </c>
      <c r="Y182" s="452">
        <v>0</v>
      </c>
      <c r="Z182" s="452">
        <v>1870.9240000000002</v>
      </c>
      <c r="AA182" s="452">
        <v>0</v>
      </c>
      <c r="AB182" s="452">
        <v>0</v>
      </c>
      <c r="AC182" s="452">
        <v>0</v>
      </c>
      <c r="AD182" s="452">
        <v>0</v>
      </c>
      <c r="AE182" s="452">
        <v>0</v>
      </c>
      <c r="AF182" s="452">
        <v>0</v>
      </c>
      <c r="AG182" s="452">
        <v>0</v>
      </c>
      <c r="AH182" s="452">
        <v>0</v>
      </c>
      <c r="AI182" s="452">
        <v>0</v>
      </c>
      <c r="AJ182" s="452">
        <v>0</v>
      </c>
      <c r="AK182" s="452">
        <v>1870.9240000000002</v>
      </c>
    </row>
    <row r="183" spans="1:37" x14ac:dyDescent="0.3">
      <c r="A183" s="118"/>
      <c r="B183" s="167" t="s">
        <v>551</v>
      </c>
      <c r="C183" s="119"/>
      <c r="D183" s="119">
        <v>10</v>
      </c>
      <c r="E183" s="119"/>
      <c r="F183" s="119">
        <v>10</v>
      </c>
      <c r="G183" s="120">
        <v>32.700000000000003</v>
      </c>
      <c r="H183" s="120">
        <v>0.7</v>
      </c>
      <c r="I183" s="120"/>
      <c r="J183" s="120"/>
      <c r="K183" s="120"/>
      <c r="L183" s="120"/>
      <c r="M183" s="120"/>
      <c r="N183" s="120">
        <v>0.1</v>
      </c>
      <c r="O183" s="120"/>
      <c r="P183" s="120"/>
      <c r="Q183" s="120"/>
      <c r="R183" s="120">
        <v>7.5150000000000015</v>
      </c>
      <c r="S183" s="120">
        <v>41.015000000000008</v>
      </c>
      <c r="T183" s="119">
        <v>885.92400000000021</v>
      </c>
      <c r="U183" s="119">
        <v>270</v>
      </c>
      <c r="V183" s="119"/>
      <c r="W183" s="119"/>
      <c r="X183" s="119"/>
      <c r="Y183" s="119"/>
      <c r="Z183" s="119">
        <v>1155.9240000000002</v>
      </c>
      <c r="AA183" s="119"/>
      <c r="AB183" s="119"/>
      <c r="AC183" s="119"/>
      <c r="AD183" s="119"/>
      <c r="AE183" s="119"/>
      <c r="AF183" s="119"/>
      <c r="AG183" s="119"/>
      <c r="AH183" s="119"/>
      <c r="AI183" s="119"/>
      <c r="AJ183" s="119"/>
      <c r="AK183" s="145">
        <v>1155.9240000000002</v>
      </c>
    </row>
    <row r="184" spans="1:37" x14ac:dyDescent="0.3">
      <c r="A184" s="118"/>
      <c r="B184" s="167" t="s">
        <v>359</v>
      </c>
      <c r="C184" s="119"/>
      <c r="D184" s="119"/>
      <c r="E184" s="119"/>
      <c r="F184" s="119"/>
      <c r="G184" s="120"/>
      <c r="H184" s="120"/>
      <c r="I184" s="120"/>
      <c r="J184" s="120"/>
      <c r="K184" s="120"/>
      <c r="L184" s="120"/>
      <c r="M184" s="120"/>
      <c r="N184" s="120"/>
      <c r="O184" s="120"/>
      <c r="P184" s="120"/>
      <c r="Q184" s="120"/>
      <c r="R184" s="120"/>
      <c r="S184" s="120"/>
      <c r="T184" s="119"/>
      <c r="U184" s="119"/>
      <c r="V184" s="119"/>
      <c r="W184" s="119"/>
      <c r="X184" s="119"/>
      <c r="Y184" s="119"/>
      <c r="Z184" s="119">
        <v>415</v>
      </c>
      <c r="AA184" s="119"/>
      <c r="AB184" s="119"/>
      <c r="AC184" s="119"/>
      <c r="AD184" s="119"/>
      <c r="AE184" s="119"/>
      <c r="AF184" s="119"/>
      <c r="AG184" s="119"/>
      <c r="AH184" s="119"/>
      <c r="AI184" s="119"/>
      <c r="AJ184" s="119"/>
      <c r="AK184" s="145">
        <v>415</v>
      </c>
    </row>
    <row r="185" spans="1:37" ht="31.2" x14ac:dyDescent="0.3">
      <c r="A185" s="118"/>
      <c r="B185" s="167" t="s">
        <v>298</v>
      </c>
      <c r="C185" s="119"/>
      <c r="D185" s="119"/>
      <c r="E185" s="119"/>
      <c r="F185" s="119"/>
      <c r="G185" s="120"/>
      <c r="H185" s="120"/>
      <c r="I185" s="120"/>
      <c r="J185" s="120"/>
      <c r="K185" s="120"/>
      <c r="L185" s="120"/>
      <c r="M185" s="120"/>
      <c r="N185" s="120"/>
      <c r="O185" s="120"/>
      <c r="P185" s="120"/>
      <c r="Q185" s="120"/>
      <c r="R185" s="120"/>
      <c r="S185" s="120"/>
      <c r="T185" s="119"/>
      <c r="U185" s="119"/>
      <c r="V185" s="119"/>
      <c r="W185" s="119"/>
      <c r="X185" s="119"/>
      <c r="Y185" s="119"/>
      <c r="Z185" s="119">
        <v>300</v>
      </c>
      <c r="AA185" s="119"/>
      <c r="AB185" s="119"/>
      <c r="AC185" s="119"/>
      <c r="AD185" s="119"/>
      <c r="AE185" s="119"/>
      <c r="AF185" s="119"/>
      <c r="AG185" s="119"/>
      <c r="AH185" s="119"/>
      <c r="AI185" s="119"/>
      <c r="AJ185" s="119"/>
      <c r="AK185" s="145">
        <v>300</v>
      </c>
    </row>
    <row r="186" spans="1:37" s="457" customFormat="1" ht="31.2" x14ac:dyDescent="0.3">
      <c r="A186" s="454">
        <v>2</v>
      </c>
      <c r="B186" s="453" t="s">
        <v>300</v>
      </c>
      <c r="C186" s="452"/>
      <c r="D186" s="452"/>
      <c r="E186" s="452"/>
      <c r="F186" s="452"/>
      <c r="G186" s="456"/>
      <c r="H186" s="456"/>
      <c r="I186" s="456"/>
      <c r="J186" s="456"/>
      <c r="K186" s="456"/>
      <c r="L186" s="456"/>
      <c r="M186" s="456"/>
      <c r="N186" s="456"/>
      <c r="O186" s="456"/>
      <c r="P186" s="456"/>
      <c r="Q186" s="456"/>
      <c r="R186" s="456"/>
      <c r="S186" s="456"/>
      <c r="T186" s="452"/>
      <c r="U186" s="452"/>
      <c r="V186" s="452"/>
      <c r="W186" s="452"/>
      <c r="X186" s="452">
        <v>0</v>
      </c>
      <c r="Y186" s="452">
        <v>0</v>
      </c>
      <c r="Z186" s="452">
        <v>2713.9534522000004</v>
      </c>
      <c r="AA186" s="452">
        <v>0</v>
      </c>
      <c r="AB186" s="452">
        <v>0</v>
      </c>
      <c r="AC186" s="452">
        <v>0</v>
      </c>
      <c r="AD186" s="452">
        <v>0</v>
      </c>
      <c r="AE186" s="452">
        <v>0</v>
      </c>
      <c r="AF186" s="452">
        <v>0</v>
      </c>
      <c r="AG186" s="452">
        <v>0</v>
      </c>
      <c r="AH186" s="452">
        <v>0</v>
      </c>
      <c r="AI186" s="452">
        <v>0</v>
      </c>
      <c r="AJ186" s="452">
        <v>0</v>
      </c>
      <c r="AK186" s="452">
        <v>2713.9534522000004</v>
      </c>
    </row>
    <row r="187" spans="1:37" x14ac:dyDescent="0.3">
      <c r="A187" s="118"/>
      <c r="B187" s="167" t="s">
        <v>551</v>
      </c>
      <c r="C187" s="119"/>
      <c r="D187" s="119">
        <v>15</v>
      </c>
      <c r="E187" s="119"/>
      <c r="F187" s="119">
        <v>15</v>
      </c>
      <c r="G187" s="120">
        <v>60.38</v>
      </c>
      <c r="H187" s="120">
        <v>0.6</v>
      </c>
      <c r="I187" s="120">
        <v>0.24900000000000003</v>
      </c>
      <c r="J187" s="120"/>
      <c r="K187" s="120"/>
      <c r="L187" s="120"/>
      <c r="M187" s="120">
        <v>2.859</v>
      </c>
      <c r="N187" s="120">
        <v>0.1</v>
      </c>
      <c r="O187" s="120"/>
      <c r="P187" s="120"/>
      <c r="Q187" s="120"/>
      <c r="R187" s="120">
        <v>14.388815000000001</v>
      </c>
      <c r="S187" s="120">
        <v>78.576815000000011</v>
      </c>
      <c r="T187" s="119">
        <v>1404.9534522000004</v>
      </c>
      <c r="U187" s="119">
        <v>405</v>
      </c>
      <c r="V187" s="119"/>
      <c r="W187" s="119"/>
      <c r="X187" s="119"/>
      <c r="Y187" s="119"/>
      <c r="Z187" s="119">
        <v>1809.9534522000004</v>
      </c>
      <c r="AA187" s="119"/>
      <c r="AB187" s="119"/>
      <c r="AC187" s="119"/>
      <c r="AD187" s="119"/>
      <c r="AE187" s="119"/>
      <c r="AF187" s="119"/>
      <c r="AG187" s="119"/>
      <c r="AH187" s="119"/>
      <c r="AI187" s="119"/>
      <c r="AJ187" s="119"/>
      <c r="AK187" s="145">
        <v>1809.9534522000004</v>
      </c>
    </row>
    <row r="188" spans="1:37" ht="31.2" x14ac:dyDescent="0.3">
      <c r="A188" s="118"/>
      <c r="B188" s="167" t="s">
        <v>301</v>
      </c>
      <c r="C188" s="119"/>
      <c r="D188" s="119"/>
      <c r="E188" s="119"/>
      <c r="F188" s="119"/>
      <c r="G188" s="120"/>
      <c r="H188" s="120"/>
      <c r="I188" s="120"/>
      <c r="J188" s="120"/>
      <c r="K188" s="120"/>
      <c r="L188" s="120"/>
      <c r="M188" s="120"/>
      <c r="N188" s="120"/>
      <c r="O188" s="120"/>
      <c r="P188" s="120"/>
      <c r="Q188" s="120"/>
      <c r="R188" s="120"/>
      <c r="S188" s="120"/>
      <c r="T188" s="119"/>
      <c r="U188" s="119"/>
      <c r="V188" s="119"/>
      <c r="W188" s="119"/>
      <c r="X188" s="119"/>
      <c r="Y188" s="119"/>
      <c r="Z188" s="119">
        <v>904</v>
      </c>
      <c r="AA188" s="119"/>
      <c r="AB188" s="119"/>
      <c r="AC188" s="119"/>
      <c r="AD188" s="119"/>
      <c r="AE188" s="119"/>
      <c r="AF188" s="119"/>
      <c r="AG188" s="119"/>
      <c r="AH188" s="119"/>
      <c r="AI188" s="119"/>
      <c r="AJ188" s="119"/>
      <c r="AK188" s="145">
        <v>904</v>
      </c>
    </row>
    <row r="189" spans="1:37" s="457" customFormat="1" ht="28.95" customHeight="1" x14ac:dyDescent="0.3">
      <c r="A189" s="454">
        <v>3</v>
      </c>
      <c r="B189" s="453" t="s">
        <v>410</v>
      </c>
      <c r="C189" s="452"/>
      <c r="D189" s="452"/>
      <c r="E189" s="452"/>
      <c r="F189" s="452"/>
      <c r="G189" s="456"/>
      <c r="H189" s="456"/>
      <c r="I189" s="456"/>
      <c r="J189" s="456"/>
      <c r="K189" s="456"/>
      <c r="L189" s="456"/>
      <c r="M189" s="456"/>
      <c r="N189" s="456"/>
      <c r="O189" s="456"/>
      <c r="P189" s="456"/>
      <c r="Q189" s="456"/>
      <c r="R189" s="456"/>
      <c r="S189" s="456"/>
      <c r="T189" s="452"/>
      <c r="U189" s="452"/>
      <c r="V189" s="452"/>
      <c r="W189" s="452"/>
      <c r="X189" s="452"/>
      <c r="Y189" s="452"/>
      <c r="Z189" s="452">
        <v>1000</v>
      </c>
      <c r="AA189" s="452"/>
      <c r="AB189" s="452"/>
      <c r="AC189" s="452"/>
      <c r="AD189" s="452"/>
      <c r="AE189" s="452"/>
      <c r="AF189" s="452"/>
      <c r="AG189" s="452"/>
      <c r="AH189" s="452"/>
      <c r="AI189" s="452"/>
      <c r="AJ189" s="452"/>
      <c r="AK189" s="460">
        <v>1000</v>
      </c>
    </row>
    <row r="190" spans="1:37" s="457" customFormat="1" ht="19.2" customHeight="1" x14ac:dyDescent="0.3">
      <c r="A190" s="454">
        <v>4</v>
      </c>
      <c r="B190" s="453" t="s">
        <v>417</v>
      </c>
      <c r="C190" s="452"/>
      <c r="D190" s="452"/>
      <c r="E190" s="452"/>
      <c r="F190" s="452"/>
      <c r="G190" s="456"/>
      <c r="H190" s="456"/>
      <c r="I190" s="456"/>
      <c r="J190" s="456"/>
      <c r="K190" s="456"/>
      <c r="L190" s="456"/>
      <c r="M190" s="456"/>
      <c r="N190" s="456"/>
      <c r="O190" s="456"/>
      <c r="P190" s="456"/>
      <c r="Q190" s="456"/>
      <c r="R190" s="456"/>
      <c r="S190" s="456"/>
      <c r="T190" s="452"/>
      <c r="U190" s="452"/>
      <c r="V190" s="452"/>
      <c r="W190" s="452"/>
      <c r="X190" s="452"/>
      <c r="Y190" s="452"/>
      <c r="Z190" s="452">
        <v>8311</v>
      </c>
      <c r="AA190" s="452"/>
      <c r="AB190" s="452"/>
      <c r="AC190" s="452"/>
      <c r="AD190" s="452"/>
      <c r="AE190" s="452"/>
      <c r="AF190" s="452"/>
      <c r="AG190" s="452"/>
      <c r="AH190" s="452"/>
      <c r="AI190" s="452"/>
      <c r="AJ190" s="452"/>
      <c r="AK190" s="460">
        <v>8311</v>
      </c>
    </row>
    <row r="191" spans="1:37" s="457" customFormat="1" ht="28.95" customHeight="1" x14ac:dyDescent="0.3">
      <c r="A191" s="454">
        <v>5</v>
      </c>
      <c r="B191" s="453" t="s">
        <v>420</v>
      </c>
      <c r="C191" s="452"/>
      <c r="D191" s="452"/>
      <c r="E191" s="452"/>
      <c r="F191" s="452"/>
      <c r="G191" s="456"/>
      <c r="H191" s="456"/>
      <c r="I191" s="456"/>
      <c r="J191" s="456"/>
      <c r="K191" s="456"/>
      <c r="L191" s="456"/>
      <c r="M191" s="456"/>
      <c r="N191" s="456"/>
      <c r="O191" s="456"/>
      <c r="P191" s="456"/>
      <c r="Q191" s="456"/>
      <c r="R191" s="456"/>
      <c r="S191" s="456"/>
      <c r="T191" s="452"/>
      <c r="U191" s="452"/>
      <c r="V191" s="452"/>
      <c r="W191" s="452"/>
      <c r="X191" s="452"/>
      <c r="Y191" s="452"/>
      <c r="Z191" s="452">
        <v>2194</v>
      </c>
      <c r="AA191" s="452"/>
      <c r="AB191" s="452"/>
      <c r="AC191" s="452"/>
      <c r="AD191" s="452"/>
      <c r="AE191" s="452"/>
      <c r="AF191" s="452"/>
      <c r="AG191" s="452"/>
      <c r="AH191" s="452"/>
      <c r="AI191" s="452"/>
      <c r="AJ191" s="452"/>
      <c r="AK191" s="460">
        <v>2194</v>
      </c>
    </row>
    <row r="192" spans="1:37" s="457" customFormat="1" ht="33" customHeight="1" x14ac:dyDescent="0.3">
      <c r="A192" s="454">
        <v>6</v>
      </c>
      <c r="B192" s="453" t="s">
        <v>565</v>
      </c>
      <c r="C192" s="452"/>
      <c r="D192" s="452"/>
      <c r="E192" s="452"/>
      <c r="F192" s="452"/>
      <c r="G192" s="456"/>
      <c r="H192" s="456"/>
      <c r="I192" s="456"/>
      <c r="J192" s="456"/>
      <c r="K192" s="456"/>
      <c r="L192" s="456"/>
      <c r="M192" s="456"/>
      <c r="N192" s="456"/>
      <c r="O192" s="456"/>
      <c r="P192" s="456"/>
      <c r="Q192" s="456"/>
      <c r="R192" s="456"/>
      <c r="S192" s="456"/>
      <c r="T192" s="452"/>
      <c r="U192" s="452"/>
      <c r="V192" s="452"/>
      <c r="W192" s="452"/>
      <c r="X192" s="452"/>
      <c r="Y192" s="452"/>
      <c r="Z192" s="452">
        <v>1451</v>
      </c>
      <c r="AA192" s="452"/>
      <c r="AB192" s="452"/>
      <c r="AC192" s="452"/>
      <c r="AD192" s="452"/>
      <c r="AE192" s="452"/>
      <c r="AF192" s="452"/>
      <c r="AG192" s="452"/>
      <c r="AH192" s="452"/>
      <c r="AI192" s="452"/>
      <c r="AJ192" s="452"/>
      <c r="AK192" s="460">
        <v>1451</v>
      </c>
    </row>
    <row r="193" spans="1:37" s="457" customFormat="1" ht="33" customHeight="1" x14ac:dyDescent="0.3">
      <c r="A193" s="454" t="s">
        <v>92</v>
      </c>
      <c r="B193" s="453" t="s">
        <v>567</v>
      </c>
      <c r="C193" s="452"/>
      <c r="D193" s="452"/>
      <c r="E193" s="452"/>
      <c r="F193" s="452"/>
      <c r="G193" s="456"/>
      <c r="H193" s="456"/>
      <c r="I193" s="456"/>
      <c r="J193" s="456"/>
      <c r="K193" s="456"/>
      <c r="L193" s="456"/>
      <c r="M193" s="456"/>
      <c r="N193" s="456"/>
      <c r="O193" s="456"/>
      <c r="P193" s="456"/>
      <c r="Q193" s="456"/>
      <c r="R193" s="456"/>
      <c r="S193" s="456"/>
      <c r="T193" s="452"/>
      <c r="U193" s="452"/>
      <c r="V193" s="452"/>
      <c r="W193" s="452"/>
      <c r="X193" s="452">
        <v>0</v>
      </c>
      <c r="Y193" s="452">
        <v>0</v>
      </c>
      <c r="Z193" s="452">
        <v>0</v>
      </c>
      <c r="AA193" s="452">
        <v>0</v>
      </c>
      <c r="AB193" s="452">
        <v>0</v>
      </c>
      <c r="AC193" s="452">
        <v>0</v>
      </c>
      <c r="AD193" s="452">
        <v>4050</v>
      </c>
      <c r="AE193" s="452">
        <v>2005</v>
      </c>
      <c r="AF193" s="452">
        <v>1289</v>
      </c>
      <c r="AG193" s="452">
        <v>0</v>
      </c>
      <c r="AH193" s="452">
        <v>0</v>
      </c>
      <c r="AI193" s="452">
        <v>0</v>
      </c>
      <c r="AJ193" s="452">
        <v>0</v>
      </c>
      <c r="AK193" s="452">
        <v>7344</v>
      </c>
    </row>
    <row r="194" spans="1:37" s="457" customFormat="1" ht="33" customHeight="1" x14ac:dyDescent="0.3">
      <c r="A194" s="454">
        <v>1</v>
      </c>
      <c r="B194" s="453" t="s">
        <v>566</v>
      </c>
      <c r="C194" s="452"/>
      <c r="D194" s="452"/>
      <c r="E194" s="452"/>
      <c r="F194" s="452"/>
      <c r="G194" s="456"/>
      <c r="H194" s="456"/>
      <c r="I194" s="456"/>
      <c r="J194" s="456"/>
      <c r="K194" s="456"/>
      <c r="L194" s="456"/>
      <c r="M194" s="456"/>
      <c r="N194" s="456"/>
      <c r="O194" s="456"/>
      <c r="P194" s="456"/>
      <c r="Q194" s="456"/>
      <c r="R194" s="456"/>
      <c r="S194" s="456"/>
      <c r="T194" s="452"/>
      <c r="U194" s="452"/>
      <c r="V194" s="452"/>
      <c r="W194" s="452"/>
      <c r="X194" s="452">
        <v>0</v>
      </c>
      <c r="Y194" s="452">
        <v>0</v>
      </c>
      <c r="Z194" s="452">
        <v>0</v>
      </c>
      <c r="AA194" s="452">
        <v>0</v>
      </c>
      <c r="AB194" s="452">
        <v>0</v>
      </c>
      <c r="AC194" s="452">
        <v>0</v>
      </c>
      <c r="AD194" s="452">
        <v>3050</v>
      </c>
      <c r="AE194" s="452">
        <v>2005</v>
      </c>
      <c r="AF194" s="452">
        <v>1289</v>
      </c>
      <c r="AG194" s="452">
        <v>0</v>
      </c>
      <c r="AH194" s="452">
        <v>0</v>
      </c>
      <c r="AI194" s="452">
        <v>0</v>
      </c>
      <c r="AJ194" s="452">
        <v>0</v>
      </c>
      <c r="AK194" s="452">
        <v>6344</v>
      </c>
    </row>
    <row r="195" spans="1:37" x14ac:dyDescent="0.3">
      <c r="A195" s="118">
        <v>1.1000000000000001</v>
      </c>
      <c r="B195" s="167" t="s">
        <v>306</v>
      </c>
      <c r="C195" s="119"/>
      <c r="D195" s="119"/>
      <c r="E195" s="119"/>
      <c r="F195" s="119"/>
      <c r="G195" s="120"/>
      <c r="H195" s="120"/>
      <c r="I195" s="120"/>
      <c r="J195" s="120"/>
      <c r="K195" s="120"/>
      <c r="L195" s="120"/>
      <c r="M195" s="120"/>
      <c r="N195" s="120"/>
      <c r="O195" s="120"/>
      <c r="P195" s="120"/>
      <c r="Q195" s="120"/>
      <c r="R195" s="120">
        <v>0</v>
      </c>
      <c r="S195" s="120">
        <v>0</v>
      </c>
      <c r="T195" s="119">
        <v>0</v>
      </c>
      <c r="U195" s="119">
        <v>0</v>
      </c>
      <c r="V195" s="119"/>
      <c r="W195" s="119"/>
      <c r="X195" s="119">
        <v>0</v>
      </c>
      <c r="Y195" s="119">
        <v>0</v>
      </c>
      <c r="Z195" s="119">
        <v>0</v>
      </c>
      <c r="AA195" s="119">
        <v>0</v>
      </c>
      <c r="AB195" s="119">
        <v>0</v>
      </c>
      <c r="AC195" s="119">
        <v>0</v>
      </c>
      <c r="AD195" s="119">
        <v>3050</v>
      </c>
      <c r="AE195" s="119">
        <v>0</v>
      </c>
      <c r="AF195" s="119">
        <v>0</v>
      </c>
      <c r="AG195" s="119">
        <v>0</v>
      </c>
      <c r="AH195" s="119">
        <v>0</v>
      </c>
      <c r="AI195" s="119">
        <v>0</v>
      </c>
      <c r="AJ195" s="119">
        <v>0</v>
      </c>
      <c r="AK195" s="119">
        <v>3050</v>
      </c>
    </row>
    <row r="196" spans="1:37" x14ac:dyDescent="0.3">
      <c r="A196" s="118"/>
      <c r="B196" s="167" t="s">
        <v>551</v>
      </c>
      <c r="C196" s="119"/>
      <c r="D196" s="119">
        <v>14</v>
      </c>
      <c r="E196" s="119"/>
      <c r="F196" s="119">
        <v>11</v>
      </c>
      <c r="G196" s="120">
        <v>31.69</v>
      </c>
      <c r="H196" s="120">
        <v>0.5</v>
      </c>
      <c r="I196" s="120">
        <v>0.4</v>
      </c>
      <c r="J196" s="120"/>
      <c r="K196" s="120"/>
      <c r="L196" s="120"/>
      <c r="M196" s="120"/>
      <c r="N196" s="120">
        <v>0.1</v>
      </c>
      <c r="O196" s="120"/>
      <c r="P196" s="120"/>
      <c r="Q196" s="120"/>
      <c r="R196" s="120">
        <v>7.6586499999999988</v>
      </c>
      <c r="S196" s="120">
        <v>40.348649999999999</v>
      </c>
      <c r="T196" s="119">
        <v>721.43386199999998</v>
      </c>
      <c r="U196" s="119">
        <v>378</v>
      </c>
      <c r="V196" s="119"/>
      <c r="W196" s="119"/>
      <c r="X196" s="119"/>
      <c r="Y196" s="119"/>
      <c r="Z196" s="119"/>
      <c r="AA196" s="119"/>
      <c r="AB196" s="119"/>
      <c r="AC196" s="119"/>
      <c r="AD196" s="119">
        <v>1199</v>
      </c>
      <c r="AE196" s="119"/>
      <c r="AF196" s="119"/>
      <c r="AG196" s="119"/>
      <c r="AH196" s="119"/>
      <c r="AI196" s="119"/>
      <c r="AJ196" s="119"/>
      <c r="AK196" s="145">
        <v>1199</v>
      </c>
    </row>
    <row r="197" spans="1:37" ht="31.2" x14ac:dyDescent="0.3">
      <c r="A197" s="118"/>
      <c r="B197" s="167" t="s">
        <v>307</v>
      </c>
      <c r="C197" s="119"/>
      <c r="D197" s="119"/>
      <c r="E197" s="119"/>
      <c r="F197" s="119"/>
      <c r="G197" s="120"/>
      <c r="H197" s="120"/>
      <c r="I197" s="120"/>
      <c r="J197" s="120"/>
      <c r="K197" s="120"/>
      <c r="L197" s="120"/>
      <c r="M197" s="120"/>
      <c r="N197" s="120"/>
      <c r="O197" s="120"/>
      <c r="P197" s="120"/>
      <c r="Q197" s="120"/>
      <c r="R197" s="120">
        <v>0</v>
      </c>
      <c r="S197" s="120">
        <v>0</v>
      </c>
      <c r="T197" s="119">
        <v>0</v>
      </c>
      <c r="U197" s="119">
        <v>0</v>
      </c>
      <c r="V197" s="119"/>
      <c r="W197" s="119"/>
      <c r="X197" s="119"/>
      <c r="Y197" s="119"/>
      <c r="Z197" s="119"/>
      <c r="AA197" s="119"/>
      <c r="AB197" s="119"/>
      <c r="AC197" s="119"/>
      <c r="AD197" s="119">
        <v>1851</v>
      </c>
      <c r="AE197" s="119"/>
      <c r="AF197" s="119"/>
      <c r="AG197" s="119"/>
      <c r="AH197" s="119"/>
      <c r="AI197" s="119"/>
      <c r="AJ197" s="119"/>
      <c r="AK197" s="145">
        <v>1851</v>
      </c>
    </row>
    <row r="198" spans="1:37" x14ac:dyDescent="0.3">
      <c r="A198" s="118">
        <v>1.2</v>
      </c>
      <c r="B198" s="167" t="s">
        <v>308</v>
      </c>
      <c r="C198" s="119"/>
      <c r="D198" s="119"/>
      <c r="E198" s="119"/>
      <c r="F198" s="119"/>
      <c r="G198" s="120"/>
      <c r="H198" s="120"/>
      <c r="I198" s="120"/>
      <c r="J198" s="120"/>
      <c r="K198" s="120"/>
      <c r="L198" s="120"/>
      <c r="M198" s="120"/>
      <c r="N198" s="120"/>
      <c r="O198" s="120"/>
      <c r="P198" s="120"/>
      <c r="Q198" s="120"/>
      <c r="R198" s="120">
        <v>0</v>
      </c>
      <c r="S198" s="120">
        <v>0</v>
      </c>
      <c r="T198" s="119">
        <v>0</v>
      </c>
      <c r="U198" s="119">
        <v>0</v>
      </c>
      <c r="V198" s="119"/>
      <c r="W198" s="119"/>
      <c r="X198" s="119">
        <v>0</v>
      </c>
      <c r="Y198" s="119">
        <v>0</v>
      </c>
      <c r="Z198" s="119">
        <v>0</v>
      </c>
      <c r="AA198" s="119">
        <v>0</v>
      </c>
      <c r="AB198" s="119">
        <v>0</v>
      </c>
      <c r="AC198" s="119">
        <v>0</v>
      </c>
      <c r="AD198" s="119">
        <v>0</v>
      </c>
      <c r="AE198" s="119">
        <v>0</v>
      </c>
      <c r="AF198" s="119">
        <v>1289</v>
      </c>
      <c r="AG198" s="119">
        <v>0</v>
      </c>
      <c r="AH198" s="119">
        <v>0</v>
      </c>
      <c r="AI198" s="119">
        <v>0</v>
      </c>
      <c r="AJ198" s="119">
        <v>0</v>
      </c>
      <c r="AK198" s="119">
        <v>1289</v>
      </c>
    </row>
    <row r="199" spans="1:37" x14ac:dyDescent="0.3">
      <c r="A199" s="118"/>
      <c r="B199" s="167" t="s">
        <v>551</v>
      </c>
      <c r="C199" s="119"/>
      <c r="D199" s="119">
        <v>3</v>
      </c>
      <c r="E199" s="119"/>
      <c r="F199" s="119">
        <v>4</v>
      </c>
      <c r="G199" s="120">
        <v>15.41</v>
      </c>
      <c r="H199" s="120">
        <v>0.3</v>
      </c>
      <c r="I199" s="120"/>
      <c r="J199" s="120"/>
      <c r="K199" s="120"/>
      <c r="L199" s="120"/>
      <c r="M199" s="120"/>
      <c r="N199" s="120"/>
      <c r="O199" s="120"/>
      <c r="P199" s="120"/>
      <c r="Q199" s="120"/>
      <c r="R199" s="120">
        <v>3.6918500000000001</v>
      </c>
      <c r="S199" s="120">
        <v>19.40185</v>
      </c>
      <c r="T199" s="119">
        <v>346.905078</v>
      </c>
      <c r="U199" s="119">
        <v>81</v>
      </c>
      <c r="V199" s="119"/>
      <c r="W199" s="119"/>
      <c r="X199" s="119"/>
      <c r="Y199" s="119"/>
      <c r="Z199" s="119"/>
      <c r="AA199" s="119"/>
      <c r="AB199" s="119"/>
      <c r="AC199" s="119"/>
      <c r="AD199" s="119"/>
      <c r="AE199" s="119"/>
      <c r="AF199" s="119">
        <v>360</v>
      </c>
      <c r="AG199" s="119"/>
      <c r="AH199" s="119"/>
      <c r="AI199" s="119"/>
      <c r="AJ199" s="119"/>
      <c r="AK199" s="145">
        <v>360</v>
      </c>
    </row>
    <row r="200" spans="1:37" x14ac:dyDescent="0.3">
      <c r="A200" s="118"/>
      <c r="B200" s="167" t="s">
        <v>309</v>
      </c>
      <c r="C200" s="119"/>
      <c r="D200" s="119"/>
      <c r="E200" s="119"/>
      <c r="F200" s="119"/>
      <c r="G200" s="120"/>
      <c r="H200" s="120"/>
      <c r="I200" s="120"/>
      <c r="J200" s="120"/>
      <c r="K200" s="120"/>
      <c r="L200" s="120"/>
      <c r="M200" s="120"/>
      <c r="N200" s="120"/>
      <c r="O200" s="120"/>
      <c r="P200" s="120"/>
      <c r="Q200" s="120"/>
      <c r="R200" s="120">
        <v>0</v>
      </c>
      <c r="S200" s="120">
        <v>0</v>
      </c>
      <c r="T200" s="119">
        <v>0</v>
      </c>
      <c r="U200" s="119">
        <v>0</v>
      </c>
      <c r="V200" s="119"/>
      <c r="W200" s="119"/>
      <c r="X200" s="119"/>
      <c r="Y200" s="119"/>
      <c r="Z200" s="119"/>
      <c r="AA200" s="119"/>
      <c r="AB200" s="119"/>
      <c r="AC200" s="119"/>
      <c r="AD200" s="119"/>
      <c r="AE200" s="119"/>
      <c r="AF200" s="119">
        <v>929</v>
      </c>
      <c r="AG200" s="119"/>
      <c r="AH200" s="119"/>
      <c r="AI200" s="119"/>
      <c r="AJ200" s="119"/>
      <c r="AK200" s="145">
        <v>929</v>
      </c>
    </row>
    <row r="201" spans="1:37" x14ac:dyDescent="0.3">
      <c r="A201" s="118">
        <v>1.3</v>
      </c>
      <c r="B201" s="167" t="s">
        <v>68</v>
      </c>
      <c r="C201" s="119"/>
      <c r="D201" s="119"/>
      <c r="E201" s="119"/>
      <c r="F201" s="119"/>
      <c r="G201" s="120"/>
      <c r="H201" s="120"/>
      <c r="I201" s="120"/>
      <c r="J201" s="120"/>
      <c r="K201" s="120"/>
      <c r="L201" s="120"/>
      <c r="M201" s="120"/>
      <c r="N201" s="120"/>
      <c r="O201" s="120"/>
      <c r="P201" s="120"/>
      <c r="Q201" s="120"/>
      <c r="R201" s="120">
        <v>0</v>
      </c>
      <c r="S201" s="120">
        <v>0</v>
      </c>
      <c r="T201" s="119">
        <v>0</v>
      </c>
      <c r="U201" s="119">
        <v>0</v>
      </c>
      <c r="V201" s="119"/>
      <c r="W201" s="119"/>
      <c r="X201" s="119">
        <v>0</v>
      </c>
      <c r="Y201" s="119">
        <v>0</v>
      </c>
      <c r="Z201" s="119">
        <v>0</v>
      </c>
      <c r="AA201" s="119">
        <v>0</v>
      </c>
      <c r="AB201" s="119">
        <v>0</v>
      </c>
      <c r="AC201" s="119">
        <v>0</v>
      </c>
      <c r="AD201" s="119">
        <v>0</v>
      </c>
      <c r="AE201" s="119">
        <v>2005</v>
      </c>
      <c r="AF201" s="119">
        <v>0</v>
      </c>
      <c r="AG201" s="119">
        <v>0</v>
      </c>
      <c r="AH201" s="119">
        <v>0</v>
      </c>
      <c r="AI201" s="119">
        <v>0</v>
      </c>
      <c r="AJ201" s="119">
        <v>0</v>
      </c>
      <c r="AK201" s="119">
        <v>2005</v>
      </c>
    </row>
    <row r="202" spans="1:37" x14ac:dyDescent="0.3">
      <c r="A202" s="118"/>
      <c r="B202" s="167" t="s">
        <v>551</v>
      </c>
      <c r="C202" s="119"/>
      <c r="D202" s="119">
        <v>6</v>
      </c>
      <c r="E202" s="119"/>
      <c r="F202" s="119">
        <v>7</v>
      </c>
      <c r="G202" s="120">
        <v>27.52</v>
      </c>
      <c r="H202" s="120"/>
      <c r="I202" s="120"/>
      <c r="J202" s="120"/>
      <c r="K202" s="120"/>
      <c r="L202" s="120"/>
      <c r="M202" s="120"/>
      <c r="N202" s="120">
        <v>0.6</v>
      </c>
      <c r="O202" s="120"/>
      <c r="P202" s="120"/>
      <c r="Q202" s="120"/>
      <c r="R202" s="120">
        <v>6.4671999999999992</v>
      </c>
      <c r="S202" s="120">
        <v>34.587200000000003</v>
      </c>
      <c r="T202" s="119">
        <v>618.41913599999998</v>
      </c>
      <c r="U202" s="119">
        <v>162</v>
      </c>
      <c r="V202" s="119"/>
      <c r="W202" s="119"/>
      <c r="X202" s="119"/>
      <c r="Y202" s="119"/>
      <c r="Z202" s="119"/>
      <c r="AA202" s="119"/>
      <c r="AB202" s="119"/>
      <c r="AC202" s="119"/>
      <c r="AD202" s="119"/>
      <c r="AE202" s="119">
        <v>740</v>
      </c>
      <c r="AF202" s="119"/>
      <c r="AG202" s="119"/>
      <c r="AH202" s="119"/>
      <c r="AI202" s="119"/>
      <c r="AJ202" s="119"/>
      <c r="AK202" s="145">
        <v>740</v>
      </c>
    </row>
    <row r="203" spans="1:37" ht="34.200000000000003" customHeight="1" x14ac:dyDescent="0.3">
      <c r="A203" s="118"/>
      <c r="B203" s="167" t="s">
        <v>310</v>
      </c>
      <c r="C203" s="119"/>
      <c r="D203" s="119"/>
      <c r="E203" s="119"/>
      <c r="F203" s="119"/>
      <c r="G203" s="120"/>
      <c r="H203" s="120"/>
      <c r="I203" s="120"/>
      <c r="J203" s="120"/>
      <c r="K203" s="120"/>
      <c r="L203" s="120"/>
      <c r="M203" s="120"/>
      <c r="N203" s="120"/>
      <c r="O203" s="120"/>
      <c r="P203" s="120"/>
      <c r="Q203" s="120"/>
      <c r="R203" s="120">
        <v>0</v>
      </c>
      <c r="S203" s="120">
        <v>0</v>
      </c>
      <c r="T203" s="119">
        <v>0</v>
      </c>
      <c r="U203" s="119">
        <v>0</v>
      </c>
      <c r="V203" s="119"/>
      <c r="W203" s="119"/>
      <c r="X203" s="119"/>
      <c r="Y203" s="119"/>
      <c r="Z203" s="119"/>
      <c r="AA203" s="119"/>
      <c r="AB203" s="119"/>
      <c r="AC203" s="119"/>
      <c r="AD203" s="119"/>
      <c r="AE203" s="119">
        <v>580</v>
      </c>
      <c r="AF203" s="119"/>
      <c r="AG203" s="119"/>
      <c r="AH203" s="119"/>
      <c r="AI203" s="119"/>
      <c r="AJ203" s="119"/>
      <c r="AK203" s="145">
        <v>580</v>
      </c>
    </row>
    <row r="204" spans="1:37" x14ac:dyDescent="0.3">
      <c r="A204" s="118"/>
      <c r="B204" s="167" t="s">
        <v>409</v>
      </c>
      <c r="C204" s="119"/>
      <c r="D204" s="119"/>
      <c r="E204" s="119"/>
      <c r="F204" s="119"/>
      <c r="G204" s="120"/>
      <c r="H204" s="120"/>
      <c r="I204" s="120"/>
      <c r="J204" s="120"/>
      <c r="K204" s="120"/>
      <c r="L204" s="120"/>
      <c r="M204" s="120"/>
      <c r="N204" s="120"/>
      <c r="O204" s="120"/>
      <c r="P204" s="120"/>
      <c r="Q204" s="120"/>
      <c r="R204" s="120"/>
      <c r="S204" s="120"/>
      <c r="T204" s="119"/>
      <c r="U204" s="119"/>
      <c r="V204" s="119"/>
      <c r="W204" s="119"/>
      <c r="X204" s="119"/>
      <c r="Y204" s="119"/>
      <c r="Z204" s="119"/>
      <c r="AA204" s="119"/>
      <c r="AB204" s="119"/>
      <c r="AC204" s="119"/>
      <c r="AD204" s="119"/>
      <c r="AE204" s="119">
        <v>685</v>
      </c>
      <c r="AF204" s="119"/>
      <c r="AG204" s="119"/>
      <c r="AH204" s="119"/>
      <c r="AI204" s="119"/>
      <c r="AJ204" s="119"/>
      <c r="AK204" s="145">
        <v>685</v>
      </c>
    </row>
    <row r="205" spans="1:37" s="457" customFormat="1" ht="31.2" x14ac:dyDescent="0.3">
      <c r="A205" s="454">
        <v>2</v>
      </c>
      <c r="B205" s="453" t="s">
        <v>570</v>
      </c>
      <c r="C205" s="452"/>
      <c r="D205" s="452"/>
      <c r="E205" s="452"/>
      <c r="F205" s="452"/>
      <c r="G205" s="456"/>
      <c r="H205" s="456"/>
      <c r="I205" s="456"/>
      <c r="J205" s="456"/>
      <c r="K205" s="456"/>
      <c r="L205" s="456"/>
      <c r="M205" s="456"/>
      <c r="N205" s="456"/>
      <c r="O205" s="456"/>
      <c r="P205" s="456"/>
      <c r="Q205" s="456"/>
      <c r="R205" s="456"/>
      <c r="S205" s="456"/>
      <c r="T205" s="452"/>
      <c r="U205" s="452"/>
      <c r="V205" s="452"/>
      <c r="W205" s="452"/>
      <c r="X205" s="452"/>
      <c r="Y205" s="452"/>
      <c r="Z205" s="452"/>
      <c r="AA205" s="452"/>
      <c r="AB205" s="452"/>
      <c r="AC205" s="452"/>
      <c r="AD205" s="452">
        <v>1000</v>
      </c>
      <c r="AE205" s="452"/>
      <c r="AF205" s="452"/>
      <c r="AG205" s="452"/>
      <c r="AH205" s="452"/>
      <c r="AI205" s="452"/>
      <c r="AJ205" s="452"/>
      <c r="AK205" s="460">
        <v>1000</v>
      </c>
    </row>
    <row r="206" spans="1:37" s="457" customFormat="1" x14ac:dyDescent="0.3">
      <c r="A206" s="454" t="s">
        <v>94</v>
      </c>
      <c r="B206" s="453" t="s">
        <v>569</v>
      </c>
      <c r="C206" s="452"/>
      <c r="D206" s="452"/>
      <c r="E206" s="452"/>
      <c r="F206" s="452"/>
      <c r="G206" s="456"/>
      <c r="H206" s="456"/>
      <c r="I206" s="456"/>
      <c r="J206" s="456"/>
      <c r="K206" s="456"/>
      <c r="L206" s="456"/>
      <c r="M206" s="456"/>
      <c r="N206" s="456"/>
      <c r="O206" s="456"/>
      <c r="P206" s="456"/>
      <c r="Q206" s="456"/>
      <c r="R206" s="456"/>
      <c r="S206" s="456"/>
      <c r="T206" s="452"/>
      <c r="U206" s="452"/>
      <c r="V206" s="452"/>
      <c r="W206" s="452"/>
      <c r="X206" s="452">
        <v>0</v>
      </c>
      <c r="Y206" s="452">
        <v>0</v>
      </c>
      <c r="Z206" s="452">
        <v>0</v>
      </c>
      <c r="AA206" s="452">
        <v>0</v>
      </c>
      <c r="AB206" s="452">
        <v>3278</v>
      </c>
      <c r="AC206" s="452">
        <v>1187.3374399999998</v>
      </c>
      <c r="AD206" s="452">
        <v>0</v>
      </c>
      <c r="AE206" s="452">
        <v>0</v>
      </c>
      <c r="AF206" s="452">
        <v>0</v>
      </c>
      <c r="AG206" s="452">
        <v>0</v>
      </c>
      <c r="AH206" s="452">
        <v>0</v>
      </c>
      <c r="AI206" s="452">
        <v>0</v>
      </c>
      <c r="AJ206" s="452">
        <v>0</v>
      </c>
      <c r="AK206" s="452">
        <v>4465.3374399999993</v>
      </c>
    </row>
    <row r="207" spans="1:37" s="457" customFormat="1" x14ac:dyDescent="0.3">
      <c r="A207" s="454">
        <v>1</v>
      </c>
      <c r="B207" s="453" t="s">
        <v>568</v>
      </c>
      <c r="C207" s="452"/>
      <c r="D207" s="452"/>
      <c r="E207" s="452"/>
      <c r="F207" s="452"/>
      <c r="G207" s="456"/>
      <c r="H207" s="456"/>
      <c r="I207" s="456"/>
      <c r="J207" s="456"/>
      <c r="K207" s="456"/>
      <c r="L207" s="456"/>
      <c r="M207" s="456"/>
      <c r="N207" s="456"/>
      <c r="O207" s="456"/>
      <c r="P207" s="456"/>
      <c r="Q207" s="456"/>
      <c r="R207" s="456">
        <v>0</v>
      </c>
      <c r="S207" s="456">
        <v>0</v>
      </c>
      <c r="T207" s="452">
        <v>0</v>
      </c>
      <c r="U207" s="452">
        <v>0</v>
      </c>
      <c r="V207" s="452"/>
      <c r="W207" s="452"/>
      <c r="X207" s="452">
        <v>0</v>
      </c>
      <c r="Y207" s="452">
        <v>0</v>
      </c>
      <c r="Z207" s="452">
        <v>0</v>
      </c>
      <c r="AA207" s="452">
        <v>0</v>
      </c>
      <c r="AB207" s="452">
        <v>3278</v>
      </c>
      <c r="AC207" s="452">
        <v>0</v>
      </c>
      <c r="AD207" s="452">
        <v>0</v>
      </c>
      <c r="AE207" s="452">
        <v>0</v>
      </c>
      <c r="AF207" s="452">
        <v>0</v>
      </c>
      <c r="AG207" s="452">
        <v>0</v>
      </c>
      <c r="AH207" s="452">
        <v>0</v>
      </c>
      <c r="AI207" s="452">
        <v>0</v>
      </c>
      <c r="AJ207" s="452">
        <v>0</v>
      </c>
      <c r="AK207" s="452">
        <v>3278</v>
      </c>
    </row>
    <row r="208" spans="1:37" ht="31.2" hidden="1" x14ac:dyDescent="0.3">
      <c r="A208" s="118"/>
      <c r="B208" s="167" t="s">
        <v>582</v>
      </c>
      <c r="C208" s="119"/>
      <c r="D208" s="119"/>
      <c r="E208" s="119"/>
      <c r="F208" s="119"/>
      <c r="G208" s="120"/>
      <c r="H208" s="120"/>
      <c r="I208" s="120"/>
      <c r="J208" s="120"/>
      <c r="K208" s="120"/>
      <c r="L208" s="120"/>
      <c r="M208" s="120"/>
      <c r="N208" s="120"/>
      <c r="O208" s="120"/>
      <c r="P208" s="120"/>
      <c r="Q208" s="120"/>
      <c r="R208" s="120"/>
      <c r="S208" s="120"/>
      <c r="T208" s="119"/>
      <c r="U208" s="119"/>
      <c r="V208" s="119"/>
      <c r="W208" s="119"/>
      <c r="X208" s="119"/>
      <c r="Y208" s="119"/>
      <c r="Z208" s="119"/>
      <c r="AA208" s="119"/>
      <c r="AB208" s="119">
        <v>300</v>
      </c>
      <c r="AC208" s="119"/>
      <c r="AD208" s="119"/>
      <c r="AE208" s="119"/>
      <c r="AF208" s="119"/>
      <c r="AG208" s="119"/>
      <c r="AH208" s="119"/>
      <c r="AI208" s="119"/>
      <c r="AJ208" s="119"/>
      <c r="AK208" s="145">
        <v>300</v>
      </c>
    </row>
    <row r="209" spans="1:37" hidden="1" x14ac:dyDescent="0.3">
      <c r="A209" s="118"/>
      <c r="B209" s="167" t="s">
        <v>513</v>
      </c>
      <c r="C209" s="119"/>
      <c r="D209" s="119"/>
      <c r="E209" s="119"/>
      <c r="F209" s="119"/>
      <c r="G209" s="120"/>
      <c r="H209" s="120"/>
      <c r="I209" s="120"/>
      <c r="J209" s="120"/>
      <c r="K209" s="120"/>
      <c r="L209" s="120"/>
      <c r="M209" s="120"/>
      <c r="N209" s="120"/>
      <c r="O209" s="120"/>
      <c r="P209" s="120"/>
      <c r="Q209" s="120"/>
      <c r="R209" s="120"/>
      <c r="S209" s="120"/>
      <c r="T209" s="119"/>
      <c r="U209" s="119"/>
      <c r="V209" s="119"/>
      <c r="W209" s="119"/>
      <c r="X209" s="119"/>
      <c r="Y209" s="119"/>
      <c r="Z209" s="119"/>
      <c r="AA209" s="119"/>
      <c r="AB209" s="119">
        <v>1119</v>
      </c>
      <c r="AC209" s="119"/>
      <c r="AD209" s="119"/>
      <c r="AE209" s="119"/>
      <c r="AF209" s="119"/>
      <c r="AG209" s="119"/>
      <c r="AH209" s="119"/>
      <c r="AI209" s="119"/>
      <c r="AJ209" s="119"/>
      <c r="AK209" s="145">
        <v>1119</v>
      </c>
    </row>
    <row r="210" spans="1:37" hidden="1" x14ac:dyDescent="0.3">
      <c r="A210" s="118"/>
      <c r="B210" s="167" t="s">
        <v>514</v>
      </c>
      <c r="C210" s="119"/>
      <c r="D210" s="119"/>
      <c r="E210" s="119"/>
      <c r="F210" s="119"/>
      <c r="G210" s="120"/>
      <c r="H210" s="120"/>
      <c r="I210" s="120"/>
      <c r="J210" s="120"/>
      <c r="K210" s="120"/>
      <c r="L210" s="120"/>
      <c r="M210" s="120"/>
      <c r="N210" s="120"/>
      <c r="O210" s="120"/>
      <c r="P210" s="120"/>
      <c r="Q210" s="120"/>
      <c r="R210" s="120"/>
      <c r="S210" s="120"/>
      <c r="T210" s="119"/>
      <c r="U210" s="119"/>
      <c r="V210" s="119"/>
      <c r="W210" s="119"/>
      <c r="X210" s="119"/>
      <c r="Y210" s="119"/>
      <c r="Z210" s="119"/>
      <c r="AA210" s="119"/>
      <c r="AB210" s="119">
        <v>196</v>
      </c>
      <c r="AC210" s="119"/>
      <c r="AD210" s="119"/>
      <c r="AE210" s="119"/>
      <c r="AF210" s="119"/>
      <c r="AG210" s="119"/>
      <c r="AH210" s="119"/>
      <c r="AI210" s="119"/>
      <c r="AJ210" s="119"/>
      <c r="AK210" s="145">
        <v>196</v>
      </c>
    </row>
    <row r="211" spans="1:37" hidden="1" x14ac:dyDescent="0.3">
      <c r="A211" s="118"/>
      <c r="B211" s="167" t="s">
        <v>515</v>
      </c>
      <c r="C211" s="119"/>
      <c r="D211" s="119"/>
      <c r="E211" s="119"/>
      <c r="F211" s="119"/>
      <c r="G211" s="120"/>
      <c r="H211" s="120"/>
      <c r="I211" s="120"/>
      <c r="J211" s="120"/>
      <c r="K211" s="120"/>
      <c r="L211" s="120"/>
      <c r="M211" s="120"/>
      <c r="N211" s="120"/>
      <c r="O211" s="120"/>
      <c r="P211" s="120"/>
      <c r="Q211" s="120"/>
      <c r="R211" s="120"/>
      <c r="S211" s="120"/>
      <c r="T211" s="119"/>
      <c r="U211" s="119"/>
      <c r="V211" s="119"/>
      <c r="W211" s="119"/>
      <c r="X211" s="119"/>
      <c r="Y211" s="119"/>
      <c r="Z211" s="119"/>
      <c r="AA211" s="119"/>
      <c r="AB211" s="119">
        <v>90</v>
      </c>
      <c r="AC211" s="119"/>
      <c r="AD211" s="119"/>
      <c r="AE211" s="119"/>
      <c r="AF211" s="119"/>
      <c r="AG211" s="119"/>
      <c r="AH211" s="119"/>
      <c r="AI211" s="119"/>
      <c r="AJ211" s="119"/>
      <c r="AK211" s="145">
        <v>90</v>
      </c>
    </row>
    <row r="212" spans="1:37" ht="31.2" hidden="1" x14ac:dyDescent="0.3">
      <c r="A212" s="118"/>
      <c r="B212" s="167" t="s">
        <v>516</v>
      </c>
      <c r="C212" s="119"/>
      <c r="D212" s="119"/>
      <c r="E212" s="119"/>
      <c r="F212" s="119"/>
      <c r="G212" s="120"/>
      <c r="H212" s="120"/>
      <c r="I212" s="120"/>
      <c r="J212" s="120"/>
      <c r="K212" s="120"/>
      <c r="L212" s="120"/>
      <c r="M212" s="120"/>
      <c r="N212" s="120"/>
      <c r="O212" s="120"/>
      <c r="P212" s="120"/>
      <c r="Q212" s="120"/>
      <c r="R212" s="120"/>
      <c r="S212" s="120"/>
      <c r="T212" s="119"/>
      <c r="U212" s="119"/>
      <c r="V212" s="119"/>
      <c r="W212" s="119"/>
      <c r="X212" s="119"/>
      <c r="Y212" s="119"/>
      <c r="Z212" s="119"/>
      <c r="AA212" s="119"/>
      <c r="AB212" s="119">
        <v>84</v>
      </c>
      <c r="AC212" s="119"/>
      <c r="AD212" s="119"/>
      <c r="AE212" s="119"/>
      <c r="AF212" s="119"/>
      <c r="AG212" s="119"/>
      <c r="AH212" s="119"/>
      <c r="AI212" s="119"/>
      <c r="AJ212" s="119"/>
      <c r="AK212" s="145">
        <v>84</v>
      </c>
    </row>
    <row r="213" spans="1:37" hidden="1" x14ac:dyDescent="0.3">
      <c r="A213" s="118"/>
      <c r="B213" s="167" t="s">
        <v>517</v>
      </c>
      <c r="C213" s="119"/>
      <c r="D213" s="119"/>
      <c r="E213" s="119"/>
      <c r="F213" s="119"/>
      <c r="G213" s="120"/>
      <c r="H213" s="120"/>
      <c r="I213" s="120"/>
      <c r="J213" s="120"/>
      <c r="K213" s="120"/>
      <c r="L213" s="120"/>
      <c r="M213" s="120"/>
      <c r="N213" s="120"/>
      <c r="O213" s="120"/>
      <c r="P213" s="120"/>
      <c r="Q213" s="120"/>
      <c r="R213" s="120"/>
      <c r="S213" s="120"/>
      <c r="T213" s="119"/>
      <c r="U213" s="119"/>
      <c r="V213" s="119"/>
      <c r="W213" s="119"/>
      <c r="X213" s="119"/>
      <c r="Y213" s="119"/>
      <c r="Z213" s="119"/>
      <c r="AA213" s="119"/>
      <c r="AB213" s="119">
        <v>174</v>
      </c>
      <c r="AC213" s="119"/>
      <c r="AD213" s="119"/>
      <c r="AE213" s="119"/>
      <c r="AF213" s="119"/>
      <c r="AG213" s="119"/>
      <c r="AH213" s="119"/>
      <c r="AI213" s="119"/>
      <c r="AJ213" s="119"/>
      <c r="AK213" s="145">
        <v>174</v>
      </c>
    </row>
    <row r="214" spans="1:37" hidden="1" x14ac:dyDescent="0.3">
      <c r="A214" s="118"/>
      <c r="B214" s="167" t="s">
        <v>518</v>
      </c>
      <c r="C214" s="119"/>
      <c r="D214" s="119"/>
      <c r="E214" s="119"/>
      <c r="F214" s="119"/>
      <c r="G214" s="120"/>
      <c r="H214" s="120"/>
      <c r="I214" s="120"/>
      <c r="J214" s="120"/>
      <c r="K214" s="120"/>
      <c r="L214" s="120"/>
      <c r="M214" s="120"/>
      <c r="N214" s="120"/>
      <c r="O214" s="120"/>
      <c r="P214" s="120"/>
      <c r="Q214" s="120"/>
      <c r="R214" s="120"/>
      <c r="S214" s="120"/>
      <c r="T214" s="119"/>
      <c r="U214" s="119"/>
      <c r="V214" s="119"/>
      <c r="W214" s="119"/>
      <c r="X214" s="119"/>
      <c r="Y214" s="119"/>
      <c r="Z214" s="119"/>
      <c r="AA214" s="119"/>
      <c r="AB214" s="119">
        <v>127</v>
      </c>
      <c r="AC214" s="119"/>
      <c r="AD214" s="119"/>
      <c r="AE214" s="119"/>
      <c r="AF214" s="119"/>
      <c r="AG214" s="119"/>
      <c r="AH214" s="119"/>
      <c r="AI214" s="119"/>
      <c r="AJ214" s="119"/>
      <c r="AK214" s="145">
        <v>127</v>
      </c>
    </row>
    <row r="215" spans="1:37" hidden="1" x14ac:dyDescent="0.3">
      <c r="A215" s="118"/>
      <c r="B215" s="167" t="s">
        <v>519</v>
      </c>
      <c r="C215" s="119"/>
      <c r="D215" s="119"/>
      <c r="E215" s="119"/>
      <c r="F215" s="119"/>
      <c r="G215" s="120"/>
      <c r="H215" s="120"/>
      <c r="I215" s="120"/>
      <c r="J215" s="120"/>
      <c r="K215" s="120"/>
      <c r="L215" s="120"/>
      <c r="M215" s="120"/>
      <c r="N215" s="120"/>
      <c r="O215" s="120"/>
      <c r="P215" s="120"/>
      <c r="Q215" s="120"/>
      <c r="R215" s="120"/>
      <c r="S215" s="120"/>
      <c r="T215" s="119"/>
      <c r="U215" s="119"/>
      <c r="V215" s="119"/>
      <c r="W215" s="119"/>
      <c r="X215" s="119"/>
      <c r="Y215" s="119"/>
      <c r="Z215" s="119"/>
      <c r="AA215" s="119"/>
      <c r="AB215" s="119">
        <v>1188</v>
      </c>
      <c r="AC215" s="119"/>
      <c r="AD215" s="119"/>
      <c r="AE215" s="119"/>
      <c r="AF215" s="119"/>
      <c r="AG215" s="119"/>
      <c r="AH215" s="119"/>
      <c r="AI215" s="119"/>
      <c r="AJ215" s="119"/>
      <c r="AK215" s="145">
        <v>1188</v>
      </c>
    </row>
    <row r="216" spans="1:37" s="457" customFormat="1" x14ac:dyDescent="0.3">
      <c r="A216" s="454">
        <v>2</v>
      </c>
      <c r="B216" s="453" t="s">
        <v>127</v>
      </c>
      <c r="C216" s="452"/>
      <c r="D216" s="452"/>
      <c r="E216" s="452"/>
      <c r="F216" s="452"/>
      <c r="G216" s="456"/>
      <c r="H216" s="456"/>
      <c r="I216" s="456"/>
      <c r="J216" s="456"/>
      <c r="K216" s="456"/>
      <c r="L216" s="456"/>
      <c r="M216" s="456"/>
      <c r="N216" s="456"/>
      <c r="O216" s="456"/>
      <c r="P216" s="456"/>
      <c r="Q216" s="456"/>
      <c r="R216" s="456"/>
      <c r="S216" s="456"/>
      <c r="T216" s="452"/>
      <c r="U216" s="452"/>
      <c r="V216" s="452"/>
      <c r="W216" s="452"/>
      <c r="X216" s="452">
        <v>0</v>
      </c>
      <c r="Y216" s="452">
        <v>0</v>
      </c>
      <c r="Z216" s="452">
        <v>0</v>
      </c>
      <c r="AA216" s="452">
        <v>0</v>
      </c>
      <c r="AB216" s="452">
        <v>0</v>
      </c>
      <c r="AC216" s="452">
        <v>1187.3374399999998</v>
      </c>
      <c r="AD216" s="452">
        <v>0</v>
      </c>
      <c r="AE216" s="452">
        <v>0</v>
      </c>
      <c r="AF216" s="452">
        <v>0</v>
      </c>
      <c r="AG216" s="452">
        <v>0</v>
      </c>
      <c r="AH216" s="452">
        <v>0</v>
      </c>
      <c r="AI216" s="452">
        <v>0</v>
      </c>
      <c r="AJ216" s="452">
        <v>0</v>
      </c>
      <c r="AK216" s="452">
        <v>1187.3374399999998</v>
      </c>
    </row>
    <row r="217" spans="1:37" x14ac:dyDescent="0.3">
      <c r="A217" s="118" t="s">
        <v>364</v>
      </c>
      <c r="B217" s="167" t="s">
        <v>583</v>
      </c>
      <c r="C217" s="119"/>
      <c r="D217" s="119"/>
      <c r="E217" s="119"/>
      <c r="F217" s="119"/>
      <c r="G217" s="120"/>
      <c r="H217" s="120"/>
      <c r="I217" s="120"/>
      <c r="J217" s="120"/>
      <c r="K217" s="120"/>
      <c r="L217" s="120"/>
      <c r="M217" s="120"/>
      <c r="N217" s="120"/>
      <c r="O217" s="120"/>
      <c r="P217" s="120"/>
      <c r="Q217" s="120"/>
      <c r="R217" s="120"/>
      <c r="S217" s="120">
        <v>0</v>
      </c>
      <c r="T217" s="119">
        <v>0</v>
      </c>
      <c r="U217" s="119">
        <v>0</v>
      </c>
      <c r="V217" s="119"/>
      <c r="W217" s="119"/>
      <c r="X217" s="119"/>
      <c r="Y217" s="119"/>
      <c r="Z217" s="119"/>
      <c r="AA217" s="119"/>
      <c r="AB217" s="119"/>
      <c r="AC217" s="119">
        <v>957.3374399999999</v>
      </c>
      <c r="AD217" s="119"/>
      <c r="AE217" s="119"/>
      <c r="AF217" s="119"/>
      <c r="AG217" s="119"/>
      <c r="AH217" s="119"/>
      <c r="AI217" s="119"/>
      <c r="AJ217" s="119"/>
      <c r="AK217" s="145">
        <v>957.3374399999999</v>
      </c>
    </row>
    <row r="218" spans="1:37" ht="62.4" x14ac:dyDescent="0.3">
      <c r="A218" s="118" t="s">
        <v>365</v>
      </c>
      <c r="B218" s="167" t="s">
        <v>419</v>
      </c>
      <c r="C218" s="119"/>
      <c r="D218" s="119"/>
      <c r="E218" s="119"/>
      <c r="F218" s="119"/>
      <c r="G218" s="120"/>
      <c r="H218" s="120"/>
      <c r="I218" s="120"/>
      <c r="J218" s="120"/>
      <c r="K218" s="120"/>
      <c r="L218" s="120"/>
      <c r="M218" s="120"/>
      <c r="N218" s="120"/>
      <c r="O218" s="120"/>
      <c r="P218" s="120"/>
      <c r="Q218" s="120"/>
      <c r="R218" s="120"/>
      <c r="S218" s="120"/>
      <c r="T218" s="119"/>
      <c r="U218" s="119"/>
      <c r="V218" s="119"/>
      <c r="W218" s="119"/>
      <c r="X218" s="119"/>
      <c r="Y218" s="119"/>
      <c r="Z218" s="119"/>
      <c r="AA218" s="119"/>
      <c r="AB218" s="119"/>
      <c r="AC218" s="119">
        <v>230</v>
      </c>
      <c r="AD218" s="119"/>
      <c r="AE218" s="119"/>
      <c r="AF218" s="119"/>
      <c r="AG218" s="119"/>
      <c r="AH218" s="119"/>
      <c r="AI218" s="119"/>
      <c r="AJ218" s="119"/>
      <c r="AK218" s="145">
        <v>230</v>
      </c>
    </row>
    <row r="219" spans="1:37" s="457" customFormat="1" x14ac:dyDescent="0.3">
      <c r="A219" s="454" t="s">
        <v>371</v>
      </c>
      <c r="B219" s="455" t="s">
        <v>548</v>
      </c>
      <c r="C219" s="452"/>
      <c r="D219" s="452"/>
      <c r="E219" s="452"/>
      <c r="F219" s="452"/>
      <c r="G219" s="456"/>
      <c r="H219" s="456"/>
      <c r="I219" s="456"/>
      <c r="J219" s="456"/>
      <c r="K219" s="456"/>
      <c r="L219" s="456"/>
      <c r="M219" s="456"/>
      <c r="N219" s="456"/>
      <c r="O219" s="456"/>
      <c r="P219" s="456"/>
      <c r="Q219" s="456"/>
      <c r="R219" s="456"/>
      <c r="S219" s="456"/>
      <c r="T219" s="452"/>
      <c r="U219" s="452"/>
      <c r="V219" s="452"/>
      <c r="W219" s="452"/>
      <c r="X219" s="452">
        <v>0</v>
      </c>
      <c r="Y219" s="452">
        <v>0</v>
      </c>
      <c r="Z219" s="452">
        <v>0</v>
      </c>
      <c r="AA219" s="452">
        <v>0</v>
      </c>
      <c r="AB219" s="452">
        <v>0</v>
      </c>
      <c r="AC219" s="452">
        <v>0</v>
      </c>
      <c r="AD219" s="452">
        <v>0</v>
      </c>
      <c r="AE219" s="452">
        <v>0</v>
      </c>
      <c r="AF219" s="452">
        <v>0</v>
      </c>
      <c r="AG219" s="452">
        <v>0</v>
      </c>
      <c r="AH219" s="452">
        <v>2500</v>
      </c>
      <c r="AI219" s="452">
        <v>3734</v>
      </c>
      <c r="AJ219" s="452">
        <v>6709</v>
      </c>
      <c r="AK219" s="452">
        <v>12943</v>
      </c>
    </row>
    <row r="220" spans="1:37" ht="46.8" x14ac:dyDescent="0.3">
      <c r="A220" s="118"/>
      <c r="B220" s="167" t="s">
        <v>396</v>
      </c>
      <c r="C220" s="119"/>
      <c r="D220" s="119"/>
      <c r="E220" s="119"/>
      <c r="F220" s="119"/>
      <c r="G220" s="120"/>
      <c r="H220" s="120"/>
      <c r="I220" s="120"/>
      <c r="J220" s="120"/>
      <c r="K220" s="120"/>
      <c r="L220" s="120"/>
      <c r="M220" s="120"/>
      <c r="N220" s="120"/>
      <c r="O220" s="120"/>
      <c r="P220" s="120"/>
      <c r="Q220" s="120"/>
      <c r="R220" s="120"/>
      <c r="S220" s="120"/>
      <c r="T220" s="119"/>
      <c r="U220" s="119"/>
      <c r="V220" s="119"/>
      <c r="W220" s="119"/>
      <c r="X220" s="119"/>
      <c r="Y220" s="119"/>
      <c r="Z220" s="119"/>
      <c r="AA220" s="119"/>
      <c r="AB220" s="119"/>
      <c r="AC220" s="119"/>
      <c r="AD220" s="119"/>
      <c r="AE220" s="119"/>
      <c r="AF220" s="119"/>
      <c r="AG220" s="119"/>
      <c r="AH220" s="119"/>
      <c r="AI220" s="119"/>
      <c r="AJ220" s="119">
        <v>4100</v>
      </c>
      <c r="AK220" s="145">
        <v>4100</v>
      </c>
    </row>
    <row r="221" spans="1:37" x14ac:dyDescent="0.3">
      <c r="A221" s="118"/>
      <c r="B221" s="18" t="s">
        <v>408</v>
      </c>
      <c r="C221" s="119"/>
      <c r="D221" s="119"/>
      <c r="E221" s="119"/>
      <c r="F221" s="119"/>
      <c r="G221" s="120"/>
      <c r="H221" s="120"/>
      <c r="I221" s="120"/>
      <c r="J221" s="120"/>
      <c r="K221" s="120"/>
      <c r="L221" s="120"/>
      <c r="M221" s="120"/>
      <c r="N221" s="120"/>
      <c r="O221" s="120"/>
      <c r="P221" s="120"/>
      <c r="Q221" s="120"/>
      <c r="R221" s="120"/>
      <c r="S221" s="120"/>
      <c r="T221" s="119"/>
      <c r="U221" s="119"/>
      <c r="V221" s="119"/>
      <c r="W221" s="119"/>
      <c r="X221" s="93"/>
      <c r="Y221" s="119"/>
      <c r="Z221" s="119"/>
      <c r="AA221" s="119"/>
      <c r="AB221" s="119"/>
      <c r="AC221" s="119"/>
      <c r="AD221" s="119"/>
      <c r="AE221" s="119"/>
      <c r="AF221" s="119"/>
      <c r="AG221" s="119"/>
      <c r="AH221" s="119">
        <v>2500</v>
      </c>
      <c r="AI221" s="119"/>
      <c r="AJ221" s="119"/>
      <c r="AK221" s="145">
        <v>2500</v>
      </c>
    </row>
    <row r="222" spans="1:37" x14ac:dyDescent="0.3">
      <c r="A222" s="118"/>
      <c r="B222" s="18" t="s">
        <v>549</v>
      </c>
      <c r="C222" s="119"/>
      <c r="D222" s="119"/>
      <c r="E222" s="119"/>
      <c r="F222" s="119"/>
      <c r="G222" s="120"/>
      <c r="H222" s="120"/>
      <c r="I222" s="120"/>
      <c r="J222" s="120"/>
      <c r="K222" s="120"/>
      <c r="L222" s="120"/>
      <c r="M222" s="120"/>
      <c r="N222" s="120"/>
      <c r="O222" s="120"/>
      <c r="P222" s="120"/>
      <c r="Q222" s="120"/>
      <c r="R222" s="120"/>
      <c r="S222" s="120"/>
      <c r="T222" s="119"/>
      <c r="U222" s="119"/>
      <c r="V222" s="119"/>
      <c r="W222" s="119"/>
      <c r="X222" s="93"/>
      <c r="Y222" s="119"/>
      <c r="Z222" s="119"/>
      <c r="AA222" s="119"/>
      <c r="AB222" s="119"/>
      <c r="AC222" s="119"/>
      <c r="AD222" s="119"/>
      <c r="AE222" s="119"/>
      <c r="AF222" s="119"/>
      <c r="AG222" s="119"/>
      <c r="AH222" s="119"/>
      <c r="AI222" s="119"/>
      <c r="AJ222" s="119">
        <v>1600</v>
      </c>
      <c r="AK222" s="145">
        <v>1600</v>
      </c>
    </row>
    <row r="223" spans="1:37" ht="31.2" x14ac:dyDescent="0.3">
      <c r="A223" s="118"/>
      <c r="B223" s="167" t="s">
        <v>593</v>
      </c>
      <c r="C223" s="119"/>
      <c r="D223" s="119"/>
      <c r="E223" s="119"/>
      <c r="F223" s="119"/>
      <c r="G223" s="120"/>
      <c r="H223" s="120"/>
      <c r="I223" s="120"/>
      <c r="J223" s="120"/>
      <c r="K223" s="120"/>
      <c r="L223" s="120"/>
      <c r="M223" s="120"/>
      <c r="N223" s="120"/>
      <c r="O223" s="120"/>
      <c r="P223" s="120"/>
      <c r="Q223" s="120"/>
      <c r="R223" s="120"/>
      <c r="S223" s="120"/>
      <c r="T223" s="119"/>
      <c r="U223" s="119"/>
      <c r="V223" s="119"/>
      <c r="W223" s="119"/>
      <c r="X223" s="93"/>
      <c r="Y223" s="119"/>
      <c r="Z223" s="119"/>
      <c r="AA223" s="119"/>
      <c r="AB223" s="119"/>
      <c r="AC223" s="119"/>
      <c r="AD223" s="119"/>
      <c r="AE223" s="119"/>
      <c r="AF223" s="119"/>
      <c r="AG223" s="119"/>
      <c r="AH223" s="119"/>
      <c r="AI223" s="119">
        <v>3734</v>
      </c>
      <c r="AJ223" s="119"/>
      <c r="AK223" s="145">
        <v>3734</v>
      </c>
    </row>
    <row r="224" spans="1:37" x14ac:dyDescent="0.3">
      <c r="A224" s="118"/>
      <c r="B224" s="18" t="s">
        <v>91</v>
      </c>
      <c r="C224" s="119"/>
      <c r="D224" s="119"/>
      <c r="E224" s="119"/>
      <c r="F224" s="119"/>
      <c r="G224" s="120"/>
      <c r="H224" s="120"/>
      <c r="I224" s="120"/>
      <c r="J224" s="120"/>
      <c r="K224" s="120"/>
      <c r="L224" s="120"/>
      <c r="M224" s="120"/>
      <c r="N224" s="120"/>
      <c r="O224" s="120"/>
      <c r="P224" s="120"/>
      <c r="Q224" s="120"/>
      <c r="R224" s="120"/>
      <c r="S224" s="120"/>
      <c r="T224" s="119"/>
      <c r="U224" s="119"/>
      <c r="V224" s="119"/>
      <c r="W224" s="119"/>
      <c r="X224" s="119"/>
      <c r="Y224" s="119"/>
      <c r="Z224" s="119"/>
      <c r="AA224" s="119"/>
      <c r="AB224" s="119"/>
      <c r="AC224" s="119"/>
      <c r="AD224" s="119"/>
      <c r="AE224" s="119"/>
      <c r="AF224" s="119"/>
      <c r="AG224" s="119"/>
      <c r="AH224" s="119"/>
      <c r="AI224" s="119"/>
      <c r="AJ224" s="119">
        <v>1009</v>
      </c>
      <c r="AK224" s="145">
        <v>1009</v>
      </c>
    </row>
    <row r="225" spans="1:37" x14ac:dyDescent="0.3">
      <c r="A225" s="171"/>
      <c r="B225" s="172"/>
      <c r="C225" s="173"/>
      <c r="D225" s="173"/>
      <c r="E225" s="173"/>
      <c r="F225" s="173"/>
      <c r="G225" s="174"/>
      <c r="H225" s="174"/>
      <c r="I225" s="174"/>
      <c r="J225" s="174"/>
      <c r="K225" s="174"/>
      <c r="L225" s="174"/>
      <c r="M225" s="174"/>
      <c r="N225" s="174"/>
      <c r="O225" s="174"/>
      <c r="P225" s="174"/>
      <c r="Q225" s="174"/>
      <c r="R225" s="174"/>
      <c r="S225" s="174"/>
      <c r="T225" s="173"/>
      <c r="U225" s="173"/>
      <c r="V225" s="173"/>
      <c r="W225" s="173"/>
      <c r="X225" s="173"/>
      <c r="Y225" s="173"/>
      <c r="Z225" s="173"/>
      <c r="AA225" s="173"/>
      <c r="AB225" s="173"/>
      <c r="AC225" s="173"/>
      <c r="AD225" s="173"/>
      <c r="AE225" s="173"/>
      <c r="AF225" s="173"/>
      <c r="AG225" s="173"/>
      <c r="AH225" s="173"/>
      <c r="AI225" s="173"/>
      <c r="AJ225" s="173"/>
      <c r="AK225" s="461">
        <v>0</v>
      </c>
    </row>
  </sheetData>
  <mergeCells count="38">
    <mergeCell ref="AG5:AG6"/>
    <mergeCell ref="AH5:AH6"/>
    <mergeCell ref="AI5:AI6"/>
    <mergeCell ref="AJ5:AJ6"/>
    <mergeCell ref="AK5:AK6"/>
    <mergeCell ref="AF5:AF6"/>
    <mergeCell ref="U5:U6"/>
    <mergeCell ref="V5:V6"/>
    <mergeCell ref="W5:W6"/>
    <mergeCell ref="X5:X6"/>
    <mergeCell ref="Y5:Y6"/>
    <mergeCell ref="Z5:Z6"/>
    <mergeCell ref="AA5:AA6"/>
    <mergeCell ref="AB5:AB6"/>
    <mergeCell ref="AC5:AC6"/>
    <mergeCell ref="AD5:AD6"/>
    <mergeCell ref="AE5:AE6"/>
    <mergeCell ref="O5:O6"/>
    <mergeCell ref="P5:P6"/>
    <mergeCell ref="Q5:Q6"/>
    <mergeCell ref="R5:R6"/>
    <mergeCell ref="S5:S6"/>
    <mergeCell ref="A1:B1"/>
    <mergeCell ref="A2:AK2"/>
    <mergeCell ref="A3:AK3"/>
    <mergeCell ref="A5:A6"/>
    <mergeCell ref="B5:B6"/>
    <mergeCell ref="C5:E5"/>
    <mergeCell ref="F5:F6"/>
    <mergeCell ref="G5:G6"/>
    <mergeCell ref="H5:H6"/>
    <mergeCell ref="T5:T6"/>
    <mergeCell ref="I5:I6"/>
    <mergeCell ref="J5:J6"/>
    <mergeCell ref="K5:K6"/>
    <mergeCell ref="L5:L6"/>
    <mergeCell ref="M5:M6"/>
    <mergeCell ref="N5:N6"/>
  </mergeCells>
  <pageMargins left="0.45" right="0.45" top="0.5" bottom="0.5" header="0.3" footer="0.3"/>
  <pageSetup paperSize="9" scale="73"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4"/>
  <sheetViews>
    <sheetView view="pageBreakPreview" zoomScale="80" zoomScaleNormal="70" zoomScaleSheetLayoutView="80" workbookViewId="0">
      <selection activeCell="B15" sqref="B15"/>
    </sheetView>
  </sheetViews>
  <sheetFormatPr defaultColWidth="9" defaultRowHeight="15.6" x14ac:dyDescent="0.3"/>
  <cols>
    <col min="1" max="1" width="4.69921875" style="23" customWidth="1"/>
    <col min="2" max="2" width="36.69921875" customWidth="1"/>
    <col min="3" max="3" width="10.09765625" style="96" hidden="1" customWidth="1"/>
    <col min="4" max="4" width="12.69921875" style="96" hidden="1" customWidth="1"/>
    <col min="5" max="5" width="12.5" style="96" hidden="1" customWidth="1"/>
    <col min="6" max="6" width="11.09765625" style="96" hidden="1" customWidth="1"/>
    <col min="7" max="8" width="13.19921875" style="96" hidden="1" customWidth="1"/>
    <col min="9" max="9" width="11.09765625" style="96" hidden="1" customWidth="1"/>
    <col min="10" max="10" width="9" style="96" hidden="1" customWidth="1"/>
    <col min="11" max="11" width="8.5" style="96" hidden="1" customWidth="1"/>
    <col min="12" max="12" width="7.5" style="96" hidden="1" customWidth="1"/>
    <col min="13" max="13" width="13.3984375" style="96" hidden="1" customWidth="1"/>
    <col min="14" max="14" width="13.09765625" style="96" hidden="1" customWidth="1"/>
    <col min="15" max="15" width="11.5" style="96" hidden="1" customWidth="1"/>
    <col min="16" max="17" width="9" hidden="1" customWidth="1"/>
    <col min="18" max="18" width="12.69921875" style="96" hidden="1" customWidth="1"/>
    <col min="19" max="19" width="12.5" style="96" hidden="1" customWidth="1"/>
    <col min="20" max="20" width="11.09765625" style="96" hidden="1" customWidth="1"/>
    <col min="21" max="22" width="13.19921875" style="96" hidden="1" customWidth="1"/>
    <col min="23" max="23" width="11.09765625" style="96" hidden="1" customWidth="1"/>
    <col min="24" max="24" width="9" style="96" hidden="1" customWidth="1"/>
    <col min="25" max="25" width="8.5" style="96" hidden="1" customWidth="1"/>
    <col min="26" max="26" width="7.5" style="96" hidden="1" customWidth="1"/>
    <col min="27" max="29" width="14.3984375" style="96" customWidth="1"/>
    <col min="30" max="31" width="14.3984375" customWidth="1"/>
    <col min="32" max="32" width="9" customWidth="1"/>
    <col min="33" max="38" width="13.19921875" hidden="1" customWidth="1"/>
    <col min="39" max="41" width="13.19921875" customWidth="1"/>
    <col min="42" max="45" width="10.8984375" hidden="1" customWidth="1"/>
    <col min="46" max="46" width="10.59765625" hidden="1" customWidth="1"/>
    <col min="47" max="47" width="0" hidden="1" customWidth="1"/>
    <col min="48" max="48" width="9.59765625" hidden="1" customWidth="1"/>
    <col min="49" max="59" width="0" hidden="1" customWidth="1"/>
  </cols>
  <sheetData>
    <row r="1" spans="1:49" ht="30.75" customHeight="1" x14ac:dyDescent="0.3">
      <c r="A1" s="565"/>
      <c r="B1" s="566"/>
      <c r="AO1" t="s">
        <v>324</v>
      </c>
      <c r="AS1" s="366" t="s">
        <v>317</v>
      </c>
    </row>
    <row r="2" spans="1:49" ht="17.399999999999999" x14ac:dyDescent="0.3">
      <c r="A2" s="469" t="s">
        <v>425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row>
    <row r="3" spans="1:49" ht="18" x14ac:dyDescent="0.35">
      <c r="A3" s="235" t="s">
        <v>584</v>
      </c>
      <c r="B3" s="569" t="s">
        <v>584</v>
      </c>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235"/>
      <c r="AP3" s="235"/>
      <c r="AQ3" s="235"/>
      <c r="AR3" s="235"/>
      <c r="AS3" s="235"/>
    </row>
    <row r="4" spans="1:49" x14ac:dyDescent="0.3">
      <c r="J4" s="137"/>
      <c r="K4" s="137"/>
      <c r="L4" s="137"/>
      <c r="M4" s="137"/>
      <c r="N4" s="137"/>
      <c r="X4" s="137"/>
      <c r="Y4" s="137"/>
      <c r="Z4" s="137"/>
      <c r="AA4" s="137"/>
      <c r="AN4" s="462" t="s">
        <v>0</v>
      </c>
      <c r="AR4" s="567" t="s">
        <v>149</v>
      </c>
      <c r="AS4" s="567"/>
      <c r="AT4" s="567"/>
    </row>
    <row r="5" spans="1:49" ht="33" customHeight="1" x14ac:dyDescent="0.3">
      <c r="A5" s="568" t="s">
        <v>1</v>
      </c>
      <c r="B5" s="568" t="s">
        <v>2</v>
      </c>
      <c r="C5" s="568" t="s">
        <v>43</v>
      </c>
      <c r="D5" s="510" t="s">
        <v>194</v>
      </c>
      <c r="E5" s="510"/>
      <c r="F5" s="510"/>
      <c r="G5" s="510" t="s">
        <v>44</v>
      </c>
      <c r="H5" s="510"/>
      <c r="I5" s="510"/>
      <c r="J5" s="510" t="s">
        <v>45</v>
      </c>
      <c r="K5" s="510"/>
      <c r="L5" s="510"/>
      <c r="M5" s="510" t="s">
        <v>195</v>
      </c>
      <c r="N5" s="510"/>
      <c r="O5" s="510"/>
      <c r="P5" s="510" t="s">
        <v>46</v>
      </c>
      <c r="Q5" s="510"/>
      <c r="R5" s="510" t="s">
        <v>182</v>
      </c>
      <c r="S5" s="510"/>
      <c r="T5" s="510"/>
      <c r="U5" s="510" t="s">
        <v>44</v>
      </c>
      <c r="V5" s="510"/>
      <c r="W5" s="510"/>
      <c r="X5" s="510" t="s">
        <v>45</v>
      </c>
      <c r="Y5" s="510"/>
      <c r="Z5" s="510"/>
      <c r="AA5" s="510" t="s">
        <v>196</v>
      </c>
      <c r="AB5" s="510"/>
      <c r="AC5" s="510"/>
      <c r="AD5" s="510" t="s">
        <v>426</v>
      </c>
      <c r="AE5" s="510"/>
      <c r="AF5" s="510"/>
      <c r="AG5" s="510" t="s">
        <v>427</v>
      </c>
      <c r="AH5" s="510"/>
      <c r="AI5" s="510"/>
      <c r="AJ5" s="510" t="s">
        <v>430</v>
      </c>
      <c r="AK5" s="510"/>
      <c r="AL5" s="510"/>
      <c r="AM5" s="510" t="s">
        <v>381</v>
      </c>
      <c r="AN5" s="510"/>
      <c r="AO5" s="510"/>
      <c r="AP5" s="510" t="s">
        <v>428</v>
      </c>
      <c r="AQ5" s="510"/>
      <c r="AR5" s="510"/>
      <c r="AS5" s="510"/>
    </row>
    <row r="6" spans="1:49" ht="23.25" customHeight="1" x14ac:dyDescent="0.3">
      <c r="A6" s="568"/>
      <c r="B6" s="568"/>
      <c r="C6" s="568"/>
      <c r="D6" s="34" t="s">
        <v>47</v>
      </c>
      <c r="E6" s="34" t="s">
        <v>10</v>
      </c>
      <c r="F6" s="34" t="s">
        <v>11</v>
      </c>
      <c r="G6" s="34" t="s">
        <v>47</v>
      </c>
      <c r="H6" s="34" t="s">
        <v>10</v>
      </c>
      <c r="I6" s="34" t="s">
        <v>11</v>
      </c>
      <c r="J6" s="34" t="s">
        <v>47</v>
      </c>
      <c r="K6" s="34" t="s">
        <v>10</v>
      </c>
      <c r="L6" s="34" t="s">
        <v>11</v>
      </c>
      <c r="M6" s="34" t="s">
        <v>47</v>
      </c>
      <c r="N6" s="34" t="s">
        <v>10</v>
      </c>
      <c r="O6" s="34" t="s">
        <v>11</v>
      </c>
      <c r="P6" s="34" t="s">
        <v>48</v>
      </c>
      <c r="Q6" s="34" t="s">
        <v>49</v>
      </c>
      <c r="R6" s="34" t="s">
        <v>47</v>
      </c>
      <c r="S6" s="34" t="s">
        <v>10</v>
      </c>
      <c r="T6" s="34" t="s">
        <v>11</v>
      </c>
      <c r="U6" s="34" t="s">
        <v>47</v>
      </c>
      <c r="V6" s="34" t="s">
        <v>10</v>
      </c>
      <c r="W6" s="34" t="s">
        <v>11</v>
      </c>
      <c r="X6" s="34" t="s">
        <v>47</v>
      </c>
      <c r="Y6" s="34" t="s">
        <v>10</v>
      </c>
      <c r="Z6" s="34" t="s">
        <v>11</v>
      </c>
      <c r="AA6" s="3" t="s">
        <v>47</v>
      </c>
      <c r="AB6" s="3" t="s">
        <v>10</v>
      </c>
      <c r="AC6" s="3" t="s">
        <v>11</v>
      </c>
      <c r="AD6" s="3" t="s">
        <v>47</v>
      </c>
      <c r="AE6" s="3" t="s">
        <v>10</v>
      </c>
      <c r="AF6" s="3" t="s">
        <v>11</v>
      </c>
      <c r="AG6" s="3" t="s">
        <v>47</v>
      </c>
      <c r="AH6" s="3" t="s">
        <v>10</v>
      </c>
      <c r="AI6" s="3" t="s">
        <v>11</v>
      </c>
      <c r="AJ6" s="3" t="s">
        <v>47</v>
      </c>
      <c r="AK6" s="3" t="s">
        <v>10</v>
      </c>
      <c r="AL6" s="3" t="s">
        <v>11</v>
      </c>
      <c r="AM6" s="3" t="s">
        <v>47</v>
      </c>
      <c r="AN6" s="3" t="s">
        <v>10</v>
      </c>
      <c r="AO6" s="3" t="s">
        <v>11</v>
      </c>
      <c r="AP6" s="3" t="s">
        <v>269</v>
      </c>
      <c r="AQ6" s="3" t="s">
        <v>10</v>
      </c>
      <c r="AR6" s="3" t="s">
        <v>11</v>
      </c>
      <c r="AS6" s="3" t="s">
        <v>429</v>
      </c>
    </row>
    <row r="7" spans="1:49" s="372" customFormat="1" ht="34.200000000000003" customHeight="1" x14ac:dyDescent="0.3">
      <c r="A7" s="367"/>
      <c r="B7" s="367" t="s">
        <v>50</v>
      </c>
      <c r="C7" s="368">
        <f>+C8+C54</f>
        <v>2317890</v>
      </c>
      <c r="D7" s="368">
        <f>+D8+D54</f>
        <v>1835869</v>
      </c>
      <c r="E7" s="368">
        <f>+E8+E54</f>
        <v>1566064</v>
      </c>
      <c r="F7" s="368">
        <f>+F8+F54</f>
        <v>269804</v>
      </c>
      <c r="G7" s="368">
        <f>+G8+G54</f>
        <v>2168037.3410446965</v>
      </c>
      <c r="H7" s="368">
        <f>+H8+H54+1</f>
        <v>1855663.3680931258</v>
      </c>
      <c r="I7" s="368">
        <f t="shared" ref="I7:O7" si="0">+I8+I54</f>
        <v>312373.9729515707</v>
      </c>
      <c r="J7" s="368">
        <f t="shared" si="0"/>
        <v>7886.05</v>
      </c>
      <c r="K7" s="368">
        <f t="shared" si="0"/>
        <v>6928.45</v>
      </c>
      <c r="L7" s="368">
        <f t="shared" si="0"/>
        <v>957.6</v>
      </c>
      <c r="M7" s="368">
        <f t="shared" si="0"/>
        <v>2160666.2910446962</v>
      </c>
      <c r="N7" s="368">
        <f t="shared" si="0"/>
        <v>1849249.9180931258</v>
      </c>
      <c r="O7" s="368">
        <f t="shared" si="0"/>
        <v>311416.37295157072</v>
      </c>
      <c r="P7" s="369">
        <f>+G7/C7*100</f>
        <v>93.534953817683174</v>
      </c>
      <c r="Q7" s="369">
        <f>+G7/D7*100</f>
        <v>118.0932485403205</v>
      </c>
      <c r="R7" s="368">
        <f>+R8+R54</f>
        <v>1386805.5</v>
      </c>
      <c r="S7" s="368">
        <f>+S8+S54</f>
        <v>1185781.5</v>
      </c>
      <c r="T7" s="368">
        <f>+T8+T54</f>
        <v>201024</v>
      </c>
      <c r="U7" s="368" t="e">
        <f>+U8+U54</f>
        <v>#REF!</v>
      </c>
      <c r="V7" s="368" t="e">
        <f>+V8+V54+1</f>
        <v>#REF!</v>
      </c>
      <c r="W7" s="368" t="e">
        <f t="shared" ref="W7:AL7" si="1">+W8+W54</f>
        <v>#REF!</v>
      </c>
      <c r="X7" s="368">
        <f t="shared" si="1"/>
        <v>15808</v>
      </c>
      <c r="Y7" s="368">
        <f t="shared" si="1"/>
        <v>14214</v>
      </c>
      <c r="Z7" s="368">
        <f t="shared" si="1"/>
        <v>2012</v>
      </c>
      <c r="AA7" s="368">
        <f t="shared" si="1"/>
        <v>1386806</v>
      </c>
      <c r="AB7" s="368">
        <f t="shared" si="1"/>
        <v>1185781.8</v>
      </c>
      <c r="AC7" s="368">
        <f t="shared" si="1"/>
        <v>201024.2</v>
      </c>
      <c r="AD7" s="368">
        <f t="shared" si="1"/>
        <v>1370580</v>
      </c>
      <c r="AE7" s="368">
        <f t="shared" si="1"/>
        <v>1171567.8</v>
      </c>
      <c r="AF7" s="368">
        <f t="shared" si="1"/>
        <v>199012.2</v>
      </c>
      <c r="AG7" s="368">
        <f t="shared" si="1"/>
        <v>1165250.1252210001</v>
      </c>
      <c r="AH7" s="368">
        <f t="shared" si="1"/>
        <v>1002347.911098</v>
      </c>
      <c r="AI7" s="368">
        <f t="shared" si="1"/>
        <v>162902.21412299998</v>
      </c>
      <c r="AJ7" s="368">
        <f t="shared" si="1"/>
        <v>1991389</v>
      </c>
      <c r="AK7" s="368">
        <f t="shared" si="1"/>
        <v>1673032</v>
      </c>
      <c r="AL7" s="368">
        <f t="shared" si="1"/>
        <v>318357</v>
      </c>
      <c r="AM7" s="368">
        <f t="shared" ref="AM7:AO7" si="2">+AM8+AM54</f>
        <v>2199389</v>
      </c>
      <c r="AN7" s="368">
        <f t="shared" si="2"/>
        <v>1874532</v>
      </c>
      <c r="AO7" s="368">
        <f t="shared" si="2"/>
        <v>324857</v>
      </c>
      <c r="AP7" s="370">
        <f t="shared" ref="AP7:AP22" si="3">AJ7/AD7</f>
        <v>1.4529534941411666</v>
      </c>
      <c r="AQ7" s="370">
        <f t="shared" ref="AQ7:AQ22" si="4">AK7/AE7</f>
        <v>1.4280283223898778</v>
      </c>
      <c r="AR7" s="370">
        <f t="shared" ref="AR7:AR22" si="5">AL7/AF7</f>
        <v>1.5996858484052736</v>
      </c>
      <c r="AS7" s="370">
        <f t="shared" ref="AS7:AS52" si="6">AJ7/AT7</f>
        <v>1.8582158395013484</v>
      </c>
      <c r="AT7" s="371">
        <f>+AT8+AT54</f>
        <v>1071667.2184510001</v>
      </c>
      <c r="AV7">
        <v>1044483</v>
      </c>
    </row>
    <row r="8" spans="1:49" s="372" customFormat="1" ht="34.200000000000003" customHeight="1" x14ac:dyDescent="0.3">
      <c r="A8" s="367" t="s">
        <v>51</v>
      </c>
      <c r="B8" s="373" t="s">
        <v>52</v>
      </c>
      <c r="C8" s="368">
        <f>+C9+C14+C49+C50</f>
        <v>2301076</v>
      </c>
      <c r="D8" s="368">
        <f>+D9+D14+D49+D50</f>
        <v>1808061</v>
      </c>
      <c r="E8" s="368">
        <f>+E9+E14+E49+E50</f>
        <v>1542866</v>
      </c>
      <c r="F8" s="368">
        <f>+F9+F14+F49+F50</f>
        <v>265194</v>
      </c>
      <c r="G8" s="368">
        <f>+G9+G14+G49+G50</f>
        <v>2144838.9410446966</v>
      </c>
      <c r="H8" s="368">
        <f>+H9+H14+H49+H50-1</f>
        <v>1837074.3680931258</v>
      </c>
      <c r="I8" s="368">
        <f t="shared" ref="I8:O8" si="7">+I9+I14+I49+I50</f>
        <v>307763.57295157068</v>
      </c>
      <c r="J8" s="368">
        <f t="shared" si="7"/>
        <v>7886.05</v>
      </c>
      <c r="K8" s="368">
        <f t="shared" si="7"/>
        <v>6928.45</v>
      </c>
      <c r="L8" s="368">
        <f t="shared" si="7"/>
        <v>957.6</v>
      </c>
      <c r="M8" s="368">
        <f t="shared" si="7"/>
        <v>2137467.8910446963</v>
      </c>
      <c r="N8" s="368">
        <f t="shared" si="7"/>
        <v>1830661.9180931258</v>
      </c>
      <c r="O8" s="368">
        <f t="shared" si="7"/>
        <v>306805.9729515707</v>
      </c>
      <c r="P8" s="369">
        <f>+G8/C8*100</f>
        <v>93.210260810364218</v>
      </c>
      <c r="Q8" s="369">
        <f>+G8/D8*100</f>
        <v>118.62647007178944</v>
      </c>
      <c r="R8" s="368">
        <f>+R9+R14+R49+R50</f>
        <v>1348904.5</v>
      </c>
      <c r="S8" s="368">
        <f>+S9+S14+S49+S50</f>
        <v>1154968.5</v>
      </c>
      <c r="T8" s="368">
        <f>+T9+T14+T49+T50</f>
        <v>193936</v>
      </c>
      <c r="U8" s="368" t="e">
        <f>+U9+U14+U49+U50</f>
        <v>#REF!</v>
      </c>
      <c r="V8" s="368" t="e">
        <f>+V9+V14+V49+V50-1</f>
        <v>#REF!</v>
      </c>
      <c r="W8" s="368" t="e">
        <f t="shared" ref="W8:AL8" si="8">+W9+W14+W49+W50</f>
        <v>#REF!</v>
      </c>
      <c r="X8" s="368">
        <f t="shared" si="8"/>
        <v>15808</v>
      </c>
      <c r="Y8" s="368">
        <f t="shared" si="8"/>
        <v>14214</v>
      </c>
      <c r="Z8" s="368">
        <f t="shared" si="8"/>
        <v>2012</v>
      </c>
      <c r="AA8" s="368">
        <f t="shared" si="8"/>
        <v>1348905</v>
      </c>
      <c r="AB8" s="368">
        <f t="shared" si="8"/>
        <v>1154968.8</v>
      </c>
      <c r="AC8" s="368">
        <f t="shared" si="8"/>
        <v>193936.2</v>
      </c>
      <c r="AD8" s="368">
        <f t="shared" si="8"/>
        <v>1332679</v>
      </c>
      <c r="AE8" s="368">
        <f t="shared" si="8"/>
        <v>1140754.8</v>
      </c>
      <c r="AF8" s="368">
        <f t="shared" si="8"/>
        <v>191924.2</v>
      </c>
      <c r="AG8" s="368">
        <f t="shared" si="8"/>
        <v>1165250.1252210001</v>
      </c>
      <c r="AH8" s="368">
        <f t="shared" si="8"/>
        <v>1002347.911098</v>
      </c>
      <c r="AI8" s="368">
        <f t="shared" si="8"/>
        <v>162902.21412299998</v>
      </c>
      <c r="AJ8" s="368">
        <f t="shared" si="8"/>
        <v>1991389</v>
      </c>
      <c r="AK8" s="368">
        <f t="shared" si="8"/>
        <v>1673032</v>
      </c>
      <c r="AL8" s="368">
        <f t="shared" si="8"/>
        <v>318357</v>
      </c>
      <c r="AM8" s="368">
        <f t="shared" ref="AM8:AO8" si="9">+AM9+AM14+AM49+AM50</f>
        <v>2199389</v>
      </c>
      <c r="AN8" s="368">
        <f t="shared" si="9"/>
        <v>1874532</v>
      </c>
      <c r="AO8" s="368">
        <f t="shared" si="9"/>
        <v>324857</v>
      </c>
      <c r="AP8" s="370">
        <f t="shared" si="3"/>
        <v>1.4942750654883885</v>
      </c>
      <c r="AQ8" s="370">
        <f t="shared" si="4"/>
        <v>1.4666008856592143</v>
      </c>
      <c r="AR8" s="370">
        <f t="shared" si="5"/>
        <v>1.6587642412994297</v>
      </c>
      <c r="AS8" s="370">
        <f t="shared" si="6"/>
        <v>1.8582158395013484</v>
      </c>
      <c r="AT8" s="374">
        <f>+AT9+AT14+AT49+AT50</f>
        <v>1071667.2184510001</v>
      </c>
      <c r="AV8" s="21">
        <f>+AV7-AK7</f>
        <v>-628549</v>
      </c>
    </row>
    <row r="9" spans="1:49" s="372" customFormat="1" ht="34.200000000000003" customHeight="1" x14ac:dyDescent="0.3">
      <c r="A9" s="367" t="s">
        <v>13</v>
      </c>
      <c r="B9" s="373" t="s">
        <v>53</v>
      </c>
      <c r="C9" s="368">
        <v>1349686</v>
      </c>
      <c r="D9" s="368">
        <f>+E9+F9</f>
        <v>1150000</v>
      </c>
      <c r="E9" s="368">
        <v>980000</v>
      </c>
      <c r="F9" s="368">
        <v>170000</v>
      </c>
      <c r="G9" s="368">
        <f>+H9+I9</f>
        <v>1414000</v>
      </c>
      <c r="H9" s="368">
        <f>+H10+H11</f>
        <v>1212000</v>
      </c>
      <c r="I9" s="368">
        <f>+I10+I11</f>
        <v>202000</v>
      </c>
      <c r="J9" s="368">
        <f t="shared" ref="J9:O9" si="10">+J10+J11</f>
        <v>0</v>
      </c>
      <c r="K9" s="368">
        <f t="shared" si="10"/>
        <v>0</v>
      </c>
      <c r="L9" s="368">
        <f t="shared" si="10"/>
        <v>0</v>
      </c>
      <c r="M9" s="368">
        <f t="shared" si="10"/>
        <v>1414000</v>
      </c>
      <c r="N9" s="368">
        <f t="shared" si="10"/>
        <v>1212000</v>
      </c>
      <c r="O9" s="368">
        <f t="shared" si="10"/>
        <v>202000</v>
      </c>
      <c r="P9" s="369">
        <f>+G9/C9*100</f>
        <v>104.7651083289002</v>
      </c>
      <c r="Q9" s="369">
        <f>+G9/D9*100</f>
        <v>122.95652173913044</v>
      </c>
      <c r="R9" s="368">
        <f>+S9+T9</f>
        <v>700000</v>
      </c>
      <c r="S9" s="368">
        <v>600000</v>
      </c>
      <c r="T9" s="368">
        <v>100000</v>
      </c>
      <c r="U9" s="368">
        <f>+V9+W9</f>
        <v>1414000</v>
      </c>
      <c r="V9" s="368">
        <f>+V10+V11</f>
        <v>1212000</v>
      </c>
      <c r="W9" s="368">
        <f>+W10+W11</f>
        <v>202000</v>
      </c>
      <c r="X9" s="368">
        <f t="shared" ref="X9:Z9" si="11">+X10+X11</f>
        <v>0</v>
      </c>
      <c r="Y9" s="368">
        <f t="shared" si="11"/>
        <v>0</v>
      </c>
      <c r="Z9" s="368">
        <f t="shared" si="11"/>
        <v>0</v>
      </c>
      <c r="AA9" s="368">
        <f>+AB9+AC9</f>
        <v>700000</v>
      </c>
      <c r="AB9" s="368">
        <v>600000</v>
      </c>
      <c r="AC9" s="368">
        <v>100000</v>
      </c>
      <c r="AD9" s="368">
        <f>+AE9+AF9</f>
        <v>700000</v>
      </c>
      <c r="AE9" s="368">
        <v>600000</v>
      </c>
      <c r="AF9" s="368">
        <v>100000</v>
      </c>
      <c r="AG9" s="368">
        <f>+AH9+AI9</f>
        <v>747899.91818200005</v>
      </c>
      <c r="AH9" s="368">
        <f>'[7]Nhập data'!C16</f>
        <v>638610.19942399999</v>
      </c>
      <c r="AI9" s="368">
        <f>'[7]Nhập data'!D16</f>
        <v>109289.718758</v>
      </c>
      <c r="AJ9" s="368">
        <f>+AK9+AL9</f>
        <v>1225738</v>
      </c>
      <c r="AK9" s="400">
        <v>1001349</v>
      </c>
      <c r="AL9" s="400">
        <v>224389</v>
      </c>
      <c r="AM9" s="368">
        <f>+AN9+AO9</f>
        <v>1425738</v>
      </c>
      <c r="AN9" s="451">
        <f>200000+1001349</f>
        <v>1201349</v>
      </c>
      <c r="AO9" s="451">
        <v>224389</v>
      </c>
      <c r="AP9" s="370">
        <f t="shared" si="3"/>
        <v>1.7510542857142857</v>
      </c>
      <c r="AQ9" s="370">
        <f t="shared" si="4"/>
        <v>1.6689149999999999</v>
      </c>
      <c r="AR9" s="370">
        <f t="shared" si="5"/>
        <v>2.2438899999999999</v>
      </c>
      <c r="AS9" s="370">
        <f t="shared" si="6"/>
        <v>1.8469234565415042</v>
      </c>
      <c r="AT9" s="374">
        <f>'[7]Nhập data'!E16</f>
        <v>663664.75321900006</v>
      </c>
    </row>
    <row r="10" spans="1:49" s="108" customFormat="1" ht="26.25" hidden="1" customHeight="1" x14ac:dyDescent="0.3">
      <c r="A10" s="37">
        <v>1</v>
      </c>
      <c r="B10" s="375" t="s">
        <v>319</v>
      </c>
      <c r="C10" s="376"/>
      <c r="D10" s="376"/>
      <c r="E10" s="376"/>
      <c r="F10" s="376"/>
      <c r="G10" s="376">
        <f>+H10+I10</f>
        <v>1413000</v>
      </c>
      <c r="H10" s="376">
        <v>1211000</v>
      </c>
      <c r="I10" s="376">
        <v>202000</v>
      </c>
      <c r="J10" s="376"/>
      <c r="K10" s="376"/>
      <c r="L10" s="376"/>
      <c r="M10" s="376">
        <f>+N10+O10</f>
        <v>1413000</v>
      </c>
      <c r="N10" s="376">
        <f>+H10-K10</f>
        <v>1211000</v>
      </c>
      <c r="O10" s="376">
        <f>+I10-L10</f>
        <v>202000</v>
      </c>
      <c r="P10" s="377"/>
      <c r="Q10" s="377"/>
      <c r="R10" s="376"/>
      <c r="S10" s="376"/>
      <c r="T10" s="376"/>
      <c r="U10" s="376">
        <f>+V10+W10</f>
        <v>1413000</v>
      </c>
      <c r="V10" s="376">
        <v>1211000</v>
      </c>
      <c r="W10" s="376">
        <v>202000</v>
      </c>
      <c r="X10" s="376"/>
      <c r="Y10" s="376"/>
      <c r="Z10" s="376"/>
      <c r="AA10" s="376">
        <f>+AB10+AC10</f>
        <v>748200</v>
      </c>
      <c r="AB10" s="376">
        <f>+AB9-AB13-AB12</f>
        <v>585000</v>
      </c>
      <c r="AC10" s="376">
        <v>163200</v>
      </c>
      <c r="AD10" s="376">
        <f>+AE10+AF10</f>
        <v>748200</v>
      </c>
      <c r="AE10" s="376">
        <f>+AE9-AE13-AE12</f>
        <v>585000</v>
      </c>
      <c r="AF10" s="376">
        <v>163200</v>
      </c>
      <c r="AG10" s="376">
        <f>+AH10+AI10</f>
        <v>786810.19942399999</v>
      </c>
      <c r="AH10" s="376">
        <f>+AH9-AH13-AH12</f>
        <v>623610.19942399999</v>
      </c>
      <c r="AI10" s="376">
        <v>163200</v>
      </c>
      <c r="AJ10" s="376">
        <f t="shared" ref="AJ10:AJ11" si="12">+AK10+AL10</f>
        <v>1149549</v>
      </c>
      <c r="AK10" s="376">
        <f>+AK9-AK13-AK12</f>
        <v>986349</v>
      </c>
      <c r="AL10" s="376">
        <v>163200</v>
      </c>
      <c r="AM10" s="376">
        <f t="shared" ref="AM10:AM11" si="13">+AN10+AO10</f>
        <v>1349549</v>
      </c>
      <c r="AN10" s="376">
        <f>+AN9-AN13-AN12</f>
        <v>1186349</v>
      </c>
      <c r="AO10" s="376">
        <v>163200</v>
      </c>
      <c r="AP10" s="370">
        <f t="shared" si="3"/>
        <v>1.5364194065757819</v>
      </c>
      <c r="AQ10" s="370">
        <f t="shared" si="4"/>
        <v>1.6860666666666666</v>
      </c>
      <c r="AR10" s="370">
        <f t="shared" si="5"/>
        <v>1</v>
      </c>
      <c r="AS10" s="370" t="e">
        <f t="shared" si="6"/>
        <v>#DIV/0!</v>
      </c>
      <c r="AT10" s="378">
        <f>+AU10+AV12</f>
        <v>0</v>
      </c>
      <c r="AV10" s="372"/>
    </row>
    <row r="11" spans="1:49" s="108" customFormat="1" ht="23.25" hidden="1" customHeight="1" x14ac:dyDescent="0.3">
      <c r="A11" s="37">
        <v>2</v>
      </c>
      <c r="B11" s="379" t="s">
        <v>54</v>
      </c>
      <c r="C11" s="376"/>
      <c r="D11" s="376"/>
      <c r="E11" s="376"/>
      <c r="F11" s="380"/>
      <c r="G11" s="376">
        <f>+H11+I11</f>
        <v>1000</v>
      </c>
      <c r="H11" s="376">
        <v>1000</v>
      </c>
      <c r="I11" s="376"/>
      <c r="J11" s="376"/>
      <c r="K11" s="376"/>
      <c r="L11" s="376"/>
      <c r="M11" s="376">
        <f>+N11+O11</f>
        <v>1000</v>
      </c>
      <c r="N11" s="376">
        <f>+H11-K11</f>
        <v>1000</v>
      </c>
      <c r="O11" s="376">
        <f>+I11-L11</f>
        <v>0</v>
      </c>
      <c r="P11" s="377"/>
      <c r="Q11" s="377"/>
      <c r="R11" s="376"/>
      <c r="S11" s="376"/>
      <c r="T11" s="380"/>
      <c r="U11" s="376">
        <f>+V11+W11</f>
        <v>1000</v>
      </c>
      <c r="V11" s="376">
        <v>1000</v>
      </c>
      <c r="W11" s="376"/>
      <c r="X11" s="376"/>
      <c r="Y11" s="376"/>
      <c r="Z11" s="376"/>
      <c r="AA11" s="376">
        <f>+AB11+AC11</f>
        <v>0</v>
      </c>
      <c r="AB11" s="376"/>
      <c r="AC11" s="376"/>
      <c r="AD11" s="376">
        <f>+AE11+AF11</f>
        <v>0</v>
      </c>
      <c r="AE11" s="376"/>
      <c r="AF11" s="376"/>
      <c r="AG11" s="376">
        <f>+AH11+AI11</f>
        <v>0</v>
      </c>
      <c r="AH11" s="376"/>
      <c r="AI11" s="376"/>
      <c r="AJ11" s="376">
        <f t="shared" si="12"/>
        <v>0</v>
      </c>
      <c r="AK11" s="376"/>
      <c r="AL11" s="376"/>
      <c r="AM11" s="376">
        <f t="shared" si="13"/>
        <v>0</v>
      </c>
      <c r="AN11" s="376"/>
      <c r="AO11" s="376"/>
      <c r="AP11" s="370" t="e">
        <f t="shared" si="3"/>
        <v>#DIV/0!</v>
      </c>
      <c r="AQ11" s="370" t="e">
        <f t="shared" si="4"/>
        <v>#DIV/0!</v>
      </c>
      <c r="AR11" s="370" t="e">
        <f t="shared" si="5"/>
        <v>#DIV/0!</v>
      </c>
      <c r="AS11" s="370" t="e">
        <f t="shared" si="6"/>
        <v>#DIV/0!</v>
      </c>
      <c r="AT11" s="378">
        <f>+AU11+AV13</f>
        <v>0</v>
      </c>
      <c r="AV11" s="372"/>
    </row>
    <row r="12" spans="1:49" s="108" customFormat="1" ht="71.25" hidden="1" customHeight="1" x14ac:dyDescent="0.3">
      <c r="A12" s="37">
        <v>3</v>
      </c>
      <c r="B12" s="379" t="s">
        <v>318</v>
      </c>
      <c r="C12" s="376"/>
      <c r="D12" s="376"/>
      <c r="E12" s="376"/>
      <c r="F12" s="380"/>
      <c r="G12" s="376"/>
      <c r="H12" s="376"/>
      <c r="I12" s="376"/>
      <c r="J12" s="376"/>
      <c r="K12" s="376"/>
      <c r="L12" s="376"/>
      <c r="M12" s="376"/>
      <c r="N12" s="376"/>
      <c r="O12" s="376"/>
      <c r="P12" s="377"/>
      <c r="Q12" s="377"/>
      <c r="R12" s="376"/>
      <c r="S12" s="376"/>
      <c r="T12" s="380"/>
      <c r="U12" s="376"/>
      <c r="V12" s="376"/>
      <c r="W12" s="376"/>
      <c r="X12" s="376"/>
      <c r="Y12" s="376"/>
      <c r="Z12" s="376"/>
      <c r="AA12" s="376"/>
      <c r="AB12" s="376">
        <v>15000</v>
      </c>
      <c r="AC12" s="376">
        <v>15000</v>
      </c>
      <c r="AD12" s="376"/>
      <c r="AE12" s="376">
        <v>15000</v>
      </c>
      <c r="AF12" s="376">
        <v>15000</v>
      </c>
      <c r="AG12" s="376"/>
      <c r="AH12" s="376">
        <v>15000</v>
      </c>
      <c r="AI12" s="376">
        <v>15000</v>
      </c>
      <c r="AJ12" s="376"/>
      <c r="AK12" s="376">
        <v>15000</v>
      </c>
      <c r="AL12" s="376">
        <v>15000</v>
      </c>
      <c r="AM12" s="376"/>
      <c r="AN12" s="376">
        <v>15000</v>
      </c>
      <c r="AO12" s="376">
        <v>15000</v>
      </c>
      <c r="AP12" s="370" t="e">
        <f t="shared" si="3"/>
        <v>#DIV/0!</v>
      </c>
      <c r="AQ12" s="370">
        <f t="shared" si="4"/>
        <v>1</v>
      </c>
      <c r="AR12" s="370">
        <f t="shared" si="5"/>
        <v>1</v>
      </c>
      <c r="AS12" s="370" t="e">
        <f t="shared" si="6"/>
        <v>#DIV/0!</v>
      </c>
      <c r="AT12" s="378"/>
    </row>
    <row r="13" spans="1:49" s="108" customFormat="1" ht="23.25" hidden="1" customHeight="1" x14ac:dyDescent="0.3">
      <c r="A13" s="37">
        <v>4</v>
      </c>
      <c r="B13" s="379" t="s">
        <v>159</v>
      </c>
      <c r="C13" s="376"/>
      <c r="D13" s="376"/>
      <c r="E13" s="376"/>
      <c r="F13" s="380"/>
      <c r="G13" s="376"/>
      <c r="H13" s="376"/>
      <c r="I13" s="376"/>
      <c r="J13" s="376"/>
      <c r="K13" s="376"/>
      <c r="L13" s="376"/>
      <c r="M13" s="376"/>
      <c r="N13" s="376"/>
      <c r="O13" s="376"/>
      <c r="P13" s="377"/>
      <c r="Q13" s="377"/>
      <c r="R13" s="376"/>
      <c r="S13" s="376"/>
      <c r="T13" s="380"/>
      <c r="U13" s="376"/>
      <c r="V13" s="376"/>
      <c r="W13" s="376"/>
      <c r="X13" s="376"/>
      <c r="Y13" s="376"/>
      <c r="Z13" s="376"/>
      <c r="AA13" s="376"/>
      <c r="AB13" s="376"/>
      <c r="AC13" s="376">
        <v>6800</v>
      </c>
      <c r="AD13" s="376"/>
      <c r="AE13" s="376"/>
      <c r="AF13" s="376">
        <v>6800</v>
      </c>
      <c r="AG13" s="376"/>
      <c r="AH13" s="376"/>
      <c r="AI13" s="376">
        <v>6800</v>
      </c>
      <c r="AJ13" s="376"/>
      <c r="AK13" s="376"/>
      <c r="AL13" s="376">
        <v>6800</v>
      </c>
      <c r="AM13" s="376"/>
      <c r="AN13" s="376"/>
      <c r="AO13" s="376">
        <v>6800</v>
      </c>
      <c r="AP13" s="370" t="e">
        <f t="shared" si="3"/>
        <v>#DIV/0!</v>
      </c>
      <c r="AQ13" s="370" t="e">
        <f t="shared" si="4"/>
        <v>#DIV/0!</v>
      </c>
      <c r="AR13" s="370">
        <f t="shared" si="5"/>
        <v>1</v>
      </c>
      <c r="AS13" s="370" t="e">
        <f t="shared" si="6"/>
        <v>#DIV/0!</v>
      </c>
      <c r="AT13" s="378"/>
    </row>
    <row r="14" spans="1:49" s="372" customFormat="1" ht="34.200000000000003" customHeight="1" x14ac:dyDescent="0.3">
      <c r="A14" s="367" t="s">
        <v>39</v>
      </c>
      <c r="B14" s="373" t="s">
        <v>55</v>
      </c>
      <c r="C14" s="368">
        <f>SUM(C15,C25:C48)</f>
        <v>798383</v>
      </c>
      <c r="D14" s="368">
        <f>+E14+F14+1</f>
        <v>621737</v>
      </c>
      <c r="E14" s="368">
        <v>531937</v>
      </c>
      <c r="F14" s="368">
        <v>89799</v>
      </c>
      <c r="G14" s="368">
        <f t="shared" ref="G14:O14" si="14">SUM(G15,G25:G30,G32:G34,G45:G48)</f>
        <v>633357.49804911506</v>
      </c>
      <c r="H14" s="368">
        <f t="shared" si="14"/>
        <v>533056</v>
      </c>
      <c r="I14" s="368">
        <f t="shared" si="14"/>
        <v>100301.49804911498</v>
      </c>
      <c r="J14" s="368">
        <f t="shared" si="14"/>
        <v>7886.05</v>
      </c>
      <c r="K14" s="368">
        <f t="shared" si="14"/>
        <v>6928.45</v>
      </c>
      <c r="L14" s="368">
        <f t="shared" si="14"/>
        <v>957.6</v>
      </c>
      <c r="M14" s="368">
        <f t="shared" si="14"/>
        <v>625986.44804911502</v>
      </c>
      <c r="N14" s="368">
        <f t="shared" si="14"/>
        <v>526642.55000000005</v>
      </c>
      <c r="O14" s="368">
        <f t="shared" si="14"/>
        <v>99343.89804911497</v>
      </c>
      <c r="P14" s="369">
        <f>+G14/C14*100</f>
        <v>79.330033085513477</v>
      </c>
      <c r="Q14" s="369">
        <f>+G14/D14*100</f>
        <v>101.8690375591472</v>
      </c>
      <c r="R14" s="368">
        <f>+S14+T14</f>
        <v>621163.5</v>
      </c>
      <c r="S14" s="368">
        <v>531252.5</v>
      </c>
      <c r="T14" s="368">
        <v>89911</v>
      </c>
      <c r="U14" s="368" t="e">
        <f t="shared" ref="U14:AA14" si="15">SUM(U15,U25:U30,U32:U34,U45:U48)</f>
        <v>#REF!</v>
      </c>
      <c r="V14" s="368">
        <f t="shared" si="15"/>
        <v>541091</v>
      </c>
      <c r="W14" s="368" t="e">
        <f t="shared" si="15"/>
        <v>#REF!</v>
      </c>
      <c r="X14" s="368">
        <f t="shared" si="15"/>
        <v>15808</v>
      </c>
      <c r="Y14" s="368">
        <f t="shared" si="15"/>
        <v>14214</v>
      </c>
      <c r="Z14" s="368">
        <f t="shared" si="15"/>
        <v>2012</v>
      </c>
      <c r="AA14" s="368">
        <f t="shared" si="15"/>
        <v>621164</v>
      </c>
      <c r="AB14" s="368">
        <f>+AB15+AB25+AB26+AB27+AB28+AB29+AB31+AB32+AB33+AB34+AB45+AB46+AB47+AB48+AB30</f>
        <v>531252.80000000005</v>
      </c>
      <c r="AC14" s="368">
        <f>SUM(AC15,AC25:AC30,AC32:AC34,AC45:AC48)</f>
        <v>89911.200000000012</v>
      </c>
      <c r="AD14" s="368">
        <f>SUM(AD15,AD25:AD30,AD32:AD34,AD45:AD48)</f>
        <v>604938</v>
      </c>
      <c r="AE14" s="368">
        <f>+AE15+AE25+AE26+AE27+AE28+AE29+AE31+AE32+AE33+AE34+AE45+AE46+AE47+AE48+AE30</f>
        <v>517038.8</v>
      </c>
      <c r="AF14" s="368">
        <f t="shared" ref="AF14:AJ14" si="16">SUM(AF15,AF25:AF30,AF32:AF34,AF45:AF48)</f>
        <v>87899.200000000012</v>
      </c>
      <c r="AG14" s="368">
        <f t="shared" si="16"/>
        <v>327235.08556700003</v>
      </c>
      <c r="AH14" s="368">
        <f>+AH15+AH25+AH26+AH27+AH28+AH29+AH31+AH32+AH33+AH34+AH45+AH46+AH47+AH48+AH30</f>
        <v>274136.22152400005</v>
      </c>
      <c r="AI14" s="368">
        <f t="shared" si="16"/>
        <v>53098.864042999987</v>
      </c>
      <c r="AJ14" s="368">
        <f t="shared" si="16"/>
        <v>573922</v>
      </c>
      <c r="AK14" s="368">
        <f>+AK15+AK25+AK26+AK27+AK28+AK29+AK31+AK32+AK33+AK34+AK45+AK46+AK47+AK48+AK30</f>
        <v>481169</v>
      </c>
      <c r="AL14" s="368">
        <f>SUM(AL15,AL25:AL30,AL32:AL34,AL45:AL48)</f>
        <v>92753</v>
      </c>
      <c r="AM14" s="368">
        <f t="shared" ref="AM14" si="17">SUM(AM15,AM25:AM30,AM32:AM34,AM45:AM48)</f>
        <v>581922</v>
      </c>
      <c r="AN14" s="368">
        <f>+AN15+AN25+AN26+AN27+AN28+AN29+AN31+AN32+AN33+AN34+AN45+AN46+AN47+AN48+AN30</f>
        <v>482669</v>
      </c>
      <c r="AO14" s="368">
        <f>SUM(AO15,AO25:AO30,AO32:AO34,AO45:AO48)</f>
        <v>99253</v>
      </c>
      <c r="AP14" s="370">
        <f t="shared" si="3"/>
        <v>0.94872863004142571</v>
      </c>
      <c r="AQ14" s="370">
        <f t="shared" si="4"/>
        <v>0.93062454887331481</v>
      </c>
      <c r="AR14" s="370">
        <f t="shared" si="5"/>
        <v>1.0552200702623002</v>
      </c>
      <c r="AS14" s="370">
        <f t="shared" si="6"/>
        <v>1.8007699646985016</v>
      </c>
      <c r="AT14" s="374">
        <f>SUM(AT15,AT25:AT30,AT32:AT34,AT45:AT48)</f>
        <v>318709.22508200002</v>
      </c>
      <c r="AV14" s="108"/>
    </row>
    <row r="15" spans="1:49" s="108" customFormat="1" ht="34.200000000000003" customHeight="1" x14ac:dyDescent="0.3">
      <c r="A15" s="37">
        <v>1</v>
      </c>
      <c r="B15" s="375" t="s">
        <v>56</v>
      </c>
      <c r="C15" s="376">
        <v>115653</v>
      </c>
      <c r="D15" s="376"/>
      <c r="E15" s="376"/>
      <c r="F15" s="376"/>
      <c r="G15" s="376">
        <f>+H15+I15</f>
        <v>108474.79618999999</v>
      </c>
      <c r="H15" s="376">
        <f>+H16+H17+H18+H19</f>
        <v>34125</v>
      </c>
      <c r="I15" s="376">
        <f>+'[8]Chi xã (NQ mới)'!$DB$9</f>
        <v>74349.796189999994</v>
      </c>
      <c r="J15" s="376">
        <f>+K15+L15</f>
        <v>1370.6</v>
      </c>
      <c r="K15" s="376">
        <f>+K16+K17+K18+K19</f>
        <v>413</v>
      </c>
      <c r="L15" s="376">
        <f>+'[8]Chi xã (NQ mới)'!$DC$9</f>
        <v>957.6</v>
      </c>
      <c r="M15" s="376">
        <f>+N15+O15</f>
        <v>107104.19618999999</v>
      </c>
      <c r="N15" s="376">
        <f>+N16+N17+N18+N19</f>
        <v>33712</v>
      </c>
      <c r="O15" s="376">
        <f>+I15-L15</f>
        <v>73392.196189999988</v>
      </c>
      <c r="P15" s="377">
        <f t="shared" ref="P15:P49" si="18">+G15/C15*100</f>
        <v>93.793326753305138</v>
      </c>
      <c r="Q15" s="375"/>
      <c r="R15" s="376"/>
      <c r="S15" s="376"/>
      <c r="T15" s="376"/>
      <c r="U15" s="376">
        <f>+V15+W15</f>
        <v>108474.79618999999</v>
      </c>
      <c r="V15" s="376">
        <f>+V16+V17+V18+V19</f>
        <v>34125</v>
      </c>
      <c r="W15" s="376">
        <f>+'[8]Chi xã (NQ mới)'!$DB$9</f>
        <v>74349.796189999994</v>
      </c>
      <c r="X15" s="376">
        <f>+Y15+Z15</f>
        <v>1620</v>
      </c>
      <c r="Y15" s="376">
        <f>Y21+Y22+Y23+Y24</f>
        <v>522</v>
      </c>
      <c r="Z15" s="376">
        <v>1098</v>
      </c>
      <c r="AA15" s="376">
        <f>+AB15+AC15</f>
        <v>96785</v>
      </c>
      <c r="AB15" s="376">
        <v>25104</v>
      </c>
      <c r="AC15" s="376">
        <v>71681</v>
      </c>
      <c r="AD15" s="376">
        <f>+AE15+AF15</f>
        <v>95165</v>
      </c>
      <c r="AE15" s="381">
        <f>AB15-Y15</f>
        <v>24582</v>
      </c>
      <c r="AF15" s="381">
        <f>AC15-Z15</f>
        <v>70583</v>
      </c>
      <c r="AG15" s="376">
        <f>+AH15+AI15</f>
        <v>60092.613584999999</v>
      </c>
      <c r="AH15" s="376">
        <f>'[7]Nhập data'!C13</f>
        <v>17020.573436999999</v>
      </c>
      <c r="AI15" s="376">
        <f>'[7]Nhập data'!D13</f>
        <v>43072.040148</v>
      </c>
      <c r="AJ15" s="376">
        <f>+AK15+AL15</f>
        <v>103580</v>
      </c>
      <c r="AK15" s="400">
        <v>29382</v>
      </c>
      <c r="AL15" s="400">
        <v>74198</v>
      </c>
      <c r="AM15" s="376">
        <f>+AN15+AO15</f>
        <v>111580</v>
      </c>
      <c r="AN15" s="376">
        <f>1500+29382</f>
        <v>30882</v>
      </c>
      <c r="AO15" s="376">
        <f>6500+74198</f>
        <v>80698</v>
      </c>
      <c r="AP15" s="382">
        <f t="shared" si="3"/>
        <v>1.0884253664687649</v>
      </c>
      <c r="AQ15" s="382">
        <f t="shared" si="4"/>
        <v>1.1952648279228704</v>
      </c>
      <c r="AR15" s="382">
        <f t="shared" si="5"/>
        <v>1.0512162985421418</v>
      </c>
      <c r="AS15" s="382">
        <f t="shared" si="6"/>
        <v>1.8651224038305041</v>
      </c>
      <c r="AT15" s="383">
        <f>'[7]Nhập data'!E13</f>
        <v>55535.229101999998</v>
      </c>
      <c r="AW15" s="384"/>
    </row>
    <row r="16" spans="1:49" s="108" customFormat="1" ht="20.100000000000001" hidden="1" customHeight="1" x14ac:dyDescent="0.3">
      <c r="A16" s="37" t="s">
        <v>57</v>
      </c>
      <c r="B16" s="375" t="s">
        <v>58</v>
      </c>
      <c r="C16" s="376">
        <v>78626</v>
      </c>
      <c r="D16" s="376"/>
      <c r="E16" s="376"/>
      <c r="F16" s="376"/>
      <c r="G16" s="376"/>
      <c r="H16" s="376">
        <f>+'[8]Tổng chi'!$H$12</f>
        <v>20609</v>
      </c>
      <c r="I16" s="376"/>
      <c r="J16" s="376"/>
      <c r="K16" s="376">
        <f>+'[9]chi các CQ'!D10+'[9]chi các CQ'!D19+'[9]chi các CQ'!D30+'[9]chi các CQ'!D36+'[9]chi các CQ'!D45+'[9]chi các CQ'!D53+'[9]chi các CQ'!D59+'[9]chi các CQ'!D67+'[9]chi các CQ'!D93+'[9]chi các CQ'!D101+'[9]chi các CQ'!D111+'[9]chi các CQ'!D117</f>
        <v>252</v>
      </c>
      <c r="L16" s="376"/>
      <c r="M16" s="376">
        <f t="shared" ref="M16:M54" si="19">+N16+O16</f>
        <v>20357</v>
      </c>
      <c r="N16" s="376">
        <f>+H16-K16</f>
        <v>20357</v>
      </c>
      <c r="O16" s="376">
        <f t="shared" ref="O16:O54" si="20">+I16-L16</f>
        <v>0</v>
      </c>
      <c r="P16" s="377">
        <f t="shared" si="18"/>
        <v>0</v>
      </c>
      <c r="Q16" s="381"/>
      <c r="R16" s="376"/>
      <c r="S16" s="376"/>
      <c r="T16" s="376"/>
      <c r="U16" s="376"/>
      <c r="V16" s="376">
        <f>+'[8]Tổng chi'!$H$12</f>
        <v>20609</v>
      </c>
      <c r="W16" s="376"/>
      <c r="X16" s="376"/>
      <c r="Y16" s="376"/>
      <c r="Z16" s="376"/>
      <c r="AA16" s="376">
        <f t="shared" ref="AA16:AA49" si="21">+AB16+AC16</f>
        <v>20609</v>
      </c>
      <c r="AB16" s="376">
        <f>+V16-Y16</f>
        <v>20609</v>
      </c>
      <c r="AC16" s="376">
        <f t="shared" ref="AC16:AC48" si="22">+W16-Z16</f>
        <v>0</v>
      </c>
      <c r="AD16" s="376">
        <f t="shared" ref="AD16:AD49" si="23">+AE16+AF16</f>
        <v>20609</v>
      </c>
      <c r="AE16" s="381">
        <f t="shared" ref="AE16:AF31" si="24">AB16-Y16</f>
        <v>20609</v>
      </c>
      <c r="AF16" s="381">
        <f t="shared" si="24"/>
        <v>0</v>
      </c>
      <c r="AG16" s="376">
        <f t="shared" ref="AG16:AG49" si="25">+AH16+AI16</f>
        <v>0</v>
      </c>
      <c r="AH16" s="376"/>
      <c r="AI16" s="376"/>
      <c r="AJ16" s="376">
        <f t="shared" ref="AJ16:AJ54" si="26">+AK16+AL16</f>
        <v>0</v>
      </c>
      <c r="AK16" s="376"/>
      <c r="AL16" s="376"/>
      <c r="AM16" s="376">
        <f t="shared" ref="AM16:AM49" si="27">+AN16+AO16</f>
        <v>0</v>
      </c>
      <c r="AN16" s="376"/>
      <c r="AO16" s="376"/>
      <c r="AP16" s="382">
        <f t="shared" si="3"/>
        <v>0</v>
      </c>
      <c r="AQ16" s="382">
        <f t="shared" si="4"/>
        <v>0</v>
      </c>
      <c r="AR16" s="382" t="e">
        <f t="shared" si="5"/>
        <v>#DIV/0!</v>
      </c>
      <c r="AS16" s="382" t="e">
        <f t="shared" si="6"/>
        <v>#DIV/0!</v>
      </c>
      <c r="AT16" s="383"/>
      <c r="AV16" s="372"/>
      <c r="AW16" s="384"/>
    </row>
    <row r="17" spans="1:49" s="108" customFormat="1" ht="20.100000000000001" hidden="1" customHeight="1" x14ac:dyDescent="0.3">
      <c r="A17" s="37" t="s">
        <v>59</v>
      </c>
      <c r="B17" s="375" t="s">
        <v>60</v>
      </c>
      <c r="C17" s="376">
        <v>18388</v>
      </c>
      <c r="D17" s="376"/>
      <c r="E17" s="376"/>
      <c r="F17" s="376"/>
      <c r="G17" s="376"/>
      <c r="H17" s="376">
        <f>+'[8]Tổng chi'!$H$13</f>
        <v>8841</v>
      </c>
      <c r="I17" s="376"/>
      <c r="J17" s="376"/>
      <c r="K17" s="376">
        <f>+'[9]chi các CQ'!D123</f>
        <v>107</v>
      </c>
      <c r="L17" s="376"/>
      <c r="M17" s="376">
        <f t="shared" si="19"/>
        <v>8734</v>
      </c>
      <c r="N17" s="376">
        <f t="shared" ref="N17:N54" si="28">+H17-K17</f>
        <v>8734</v>
      </c>
      <c r="O17" s="376">
        <f t="shared" si="20"/>
        <v>0</v>
      </c>
      <c r="P17" s="377">
        <f t="shared" si="18"/>
        <v>0</v>
      </c>
      <c r="Q17" s="375"/>
      <c r="R17" s="376"/>
      <c r="S17" s="376"/>
      <c r="T17" s="376"/>
      <c r="U17" s="376"/>
      <c r="V17" s="376">
        <f>+'[8]Tổng chi'!$H$13</f>
        <v>8841</v>
      </c>
      <c r="W17" s="376"/>
      <c r="X17" s="376"/>
      <c r="Y17" s="376"/>
      <c r="Z17" s="376"/>
      <c r="AA17" s="376">
        <f t="shared" si="21"/>
        <v>8841</v>
      </c>
      <c r="AB17" s="376">
        <f t="shared" ref="AB17:AB19" si="29">+V17-Y17</f>
        <v>8841</v>
      </c>
      <c r="AC17" s="376">
        <f t="shared" si="22"/>
        <v>0</v>
      </c>
      <c r="AD17" s="376">
        <f t="shared" si="23"/>
        <v>8841</v>
      </c>
      <c r="AE17" s="381">
        <f t="shared" si="24"/>
        <v>8841</v>
      </c>
      <c r="AF17" s="381">
        <f t="shared" si="24"/>
        <v>0</v>
      </c>
      <c r="AG17" s="376">
        <f t="shared" si="25"/>
        <v>0</v>
      </c>
      <c r="AH17" s="376"/>
      <c r="AI17" s="376"/>
      <c r="AJ17" s="376">
        <f t="shared" si="26"/>
        <v>0</v>
      </c>
      <c r="AK17" s="376"/>
      <c r="AL17" s="376"/>
      <c r="AM17" s="376">
        <f t="shared" si="27"/>
        <v>0</v>
      </c>
      <c r="AN17" s="376"/>
      <c r="AO17" s="376"/>
      <c r="AP17" s="382">
        <f t="shared" si="3"/>
        <v>0</v>
      </c>
      <c r="AQ17" s="382">
        <f t="shared" si="4"/>
        <v>0</v>
      </c>
      <c r="AR17" s="382" t="e">
        <f t="shared" si="5"/>
        <v>#DIV/0!</v>
      </c>
      <c r="AS17" s="382" t="e">
        <f t="shared" si="6"/>
        <v>#DIV/0!</v>
      </c>
      <c r="AT17" s="383"/>
      <c r="AW17" s="384"/>
    </row>
    <row r="18" spans="1:49" s="108" customFormat="1" ht="20.100000000000001" hidden="1" customHeight="1" x14ac:dyDescent="0.3">
      <c r="A18" s="37" t="s">
        <v>61</v>
      </c>
      <c r="B18" s="375" t="s">
        <v>62</v>
      </c>
      <c r="C18" s="376">
        <v>17951</v>
      </c>
      <c r="D18" s="376"/>
      <c r="E18" s="376"/>
      <c r="F18" s="376"/>
      <c r="G18" s="376"/>
      <c r="H18" s="376">
        <f>+'[8]Tổng chi'!$H$14</f>
        <v>4164</v>
      </c>
      <c r="I18" s="376"/>
      <c r="J18" s="376"/>
      <c r="K18" s="376">
        <f>+'[9]chi các CQ'!D137+'[9]chi các CQ'!D149+'[9]chi các CQ'!D156+'[9]chi các CQ'!D165+'[9]chi các CQ'!D173</f>
        <v>54</v>
      </c>
      <c r="L18" s="376"/>
      <c r="M18" s="376">
        <f t="shared" si="19"/>
        <v>4110</v>
      </c>
      <c r="N18" s="376">
        <f t="shared" si="28"/>
        <v>4110</v>
      </c>
      <c r="O18" s="376">
        <f t="shared" si="20"/>
        <v>0</v>
      </c>
      <c r="P18" s="377">
        <f t="shared" si="18"/>
        <v>0</v>
      </c>
      <c r="Q18" s="375"/>
      <c r="R18" s="376"/>
      <c r="S18" s="376"/>
      <c r="T18" s="376"/>
      <c r="U18" s="376"/>
      <c r="V18" s="376">
        <f>+'[8]Tổng chi'!$H$14</f>
        <v>4164</v>
      </c>
      <c r="W18" s="376"/>
      <c r="X18" s="376"/>
      <c r="Y18" s="376"/>
      <c r="Z18" s="376"/>
      <c r="AA18" s="376">
        <f t="shared" si="21"/>
        <v>4164</v>
      </c>
      <c r="AB18" s="376">
        <f t="shared" si="29"/>
        <v>4164</v>
      </c>
      <c r="AC18" s="376">
        <f t="shared" si="22"/>
        <v>0</v>
      </c>
      <c r="AD18" s="376">
        <f t="shared" si="23"/>
        <v>4164</v>
      </c>
      <c r="AE18" s="381">
        <f t="shared" si="24"/>
        <v>4164</v>
      </c>
      <c r="AF18" s="381">
        <f t="shared" si="24"/>
        <v>0</v>
      </c>
      <c r="AG18" s="376">
        <f t="shared" si="25"/>
        <v>0</v>
      </c>
      <c r="AH18" s="376"/>
      <c r="AI18" s="376"/>
      <c r="AJ18" s="376">
        <f t="shared" si="26"/>
        <v>0</v>
      </c>
      <c r="AK18" s="376"/>
      <c r="AL18" s="376"/>
      <c r="AM18" s="376">
        <f t="shared" si="27"/>
        <v>0</v>
      </c>
      <c r="AN18" s="376"/>
      <c r="AO18" s="376"/>
      <c r="AP18" s="382">
        <f t="shared" si="3"/>
        <v>0</v>
      </c>
      <c r="AQ18" s="382">
        <f t="shared" si="4"/>
        <v>0</v>
      </c>
      <c r="AR18" s="382" t="e">
        <f t="shared" si="5"/>
        <v>#DIV/0!</v>
      </c>
      <c r="AS18" s="382" t="e">
        <f t="shared" si="6"/>
        <v>#DIV/0!</v>
      </c>
      <c r="AT18" s="383"/>
      <c r="AW18" s="384"/>
    </row>
    <row r="19" spans="1:49" s="108" customFormat="1" ht="20.100000000000001" hidden="1" customHeight="1" x14ac:dyDescent="0.3">
      <c r="A19" s="37" t="s">
        <v>63</v>
      </c>
      <c r="B19" s="375" t="s">
        <v>64</v>
      </c>
      <c r="C19" s="376">
        <v>687</v>
      </c>
      <c r="D19" s="376"/>
      <c r="E19" s="376"/>
      <c r="F19" s="376"/>
      <c r="G19" s="376"/>
      <c r="H19" s="376">
        <f>+'[8]Tổng chi'!$H$15</f>
        <v>511</v>
      </c>
      <c r="I19" s="376"/>
      <c r="J19" s="376"/>
      <c r="K19" s="376"/>
      <c r="L19" s="376"/>
      <c r="M19" s="376">
        <f t="shared" si="19"/>
        <v>511</v>
      </c>
      <c r="N19" s="376">
        <f t="shared" si="28"/>
        <v>511</v>
      </c>
      <c r="O19" s="376">
        <f t="shared" si="20"/>
        <v>0</v>
      </c>
      <c r="P19" s="377">
        <f t="shared" si="18"/>
        <v>0</v>
      </c>
      <c r="Q19" s="375"/>
      <c r="R19" s="376"/>
      <c r="S19" s="376"/>
      <c r="T19" s="376"/>
      <c r="U19" s="376"/>
      <c r="V19" s="376">
        <f>+'[8]Tổng chi'!$H$15</f>
        <v>511</v>
      </c>
      <c r="W19" s="376"/>
      <c r="X19" s="376"/>
      <c r="Y19" s="376"/>
      <c r="Z19" s="376"/>
      <c r="AA19" s="376">
        <f t="shared" si="21"/>
        <v>511</v>
      </c>
      <c r="AB19" s="376">
        <f t="shared" si="29"/>
        <v>511</v>
      </c>
      <c r="AC19" s="376">
        <f t="shared" si="22"/>
        <v>0</v>
      </c>
      <c r="AD19" s="376">
        <f t="shared" si="23"/>
        <v>511</v>
      </c>
      <c r="AE19" s="381">
        <f t="shared" si="24"/>
        <v>511</v>
      </c>
      <c r="AF19" s="381">
        <f t="shared" si="24"/>
        <v>0</v>
      </c>
      <c r="AG19" s="376">
        <f t="shared" si="25"/>
        <v>0</v>
      </c>
      <c r="AH19" s="376"/>
      <c r="AI19" s="376"/>
      <c r="AJ19" s="376">
        <f t="shared" si="26"/>
        <v>0</v>
      </c>
      <c r="AK19" s="376"/>
      <c r="AL19" s="376"/>
      <c r="AM19" s="376">
        <f t="shared" si="27"/>
        <v>0</v>
      </c>
      <c r="AN19" s="376"/>
      <c r="AO19" s="376"/>
      <c r="AP19" s="382">
        <f t="shared" si="3"/>
        <v>0</v>
      </c>
      <c r="AQ19" s="382">
        <f t="shared" si="4"/>
        <v>0</v>
      </c>
      <c r="AR19" s="382" t="e">
        <f t="shared" si="5"/>
        <v>#DIV/0!</v>
      </c>
      <c r="AS19" s="382" t="e">
        <f t="shared" si="6"/>
        <v>#DIV/0!</v>
      </c>
      <c r="AT19" s="383"/>
      <c r="AW19" s="384"/>
    </row>
    <row r="20" spans="1:49" s="108" customFormat="1" ht="20.100000000000001" hidden="1" customHeight="1" x14ac:dyDescent="0.3">
      <c r="A20" s="37"/>
      <c r="B20" s="375" t="s">
        <v>158</v>
      </c>
      <c r="C20" s="376"/>
      <c r="D20" s="376"/>
      <c r="E20" s="376"/>
      <c r="F20" s="376"/>
      <c r="G20" s="376"/>
      <c r="H20" s="376"/>
      <c r="I20" s="376"/>
      <c r="J20" s="376"/>
      <c r="K20" s="376"/>
      <c r="L20" s="376"/>
      <c r="M20" s="376"/>
      <c r="N20" s="376"/>
      <c r="O20" s="376"/>
      <c r="P20" s="377"/>
      <c r="Q20" s="375"/>
      <c r="R20" s="376"/>
      <c r="S20" s="376"/>
      <c r="T20" s="376"/>
      <c r="U20" s="376"/>
      <c r="V20" s="376"/>
      <c r="W20" s="376"/>
      <c r="X20" s="376"/>
      <c r="Y20" s="376"/>
      <c r="Z20" s="376"/>
      <c r="AA20" s="376"/>
      <c r="AB20" s="376"/>
      <c r="AC20" s="376"/>
      <c r="AD20" s="376">
        <f t="shared" si="23"/>
        <v>0</v>
      </c>
      <c r="AE20" s="381">
        <f t="shared" si="24"/>
        <v>0</v>
      </c>
      <c r="AF20" s="381">
        <f t="shared" si="24"/>
        <v>0</v>
      </c>
      <c r="AG20" s="376">
        <f t="shared" si="25"/>
        <v>0</v>
      </c>
      <c r="AH20" s="376"/>
      <c r="AI20" s="376"/>
      <c r="AJ20" s="376">
        <f t="shared" si="26"/>
        <v>0</v>
      </c>
      <c r="AK20" s="376"/>
      <c r="AL20" s="376"/>
      <c r="AM20" s="376">
        <f t="shared" si="27"/>
        <v>0</v>
      </c>
      <c r="AN20" s="376"/>
      <c r="AO20" s="376"/>
      <c r="AP20" s="382" t="e">
        <f t="shared" si="3"/>
        <v>#DIV/0!</v>
      </c>
      <c r="AQ20" s="382" t="e">
        <f t="shared" si="4"/>
        <v>#DIV/0!</v>
      </c>
      <c r="AR20" s="382" t="e">
        <f t="shared" si="5"/>
        <v>#DIV/0!</v>
      </c>
      <c r="AS20" s="382" t="e">
        <f t="shared" si="6"/>
        <v>#DIV/0!</v>
      </c>
      <c r="AT20" s="383"/>
      <c r="AW20" s="384"/>
    </row>
    <row r="21" spans="1:49" s="108" customFormat="1" ht="20.100000000000001" hidden="1" customHeight="1" x14ac:dyDescent="0.3">
      <c r="A21" s="385" t="s">
        <v>198</v>
      </c>
      <c r="B21" s="375" t="s">
        <v>58</v>
      </c>
      <c r="C21" s="376"/>
      <c r="D21" s="376"/>
      <c r="E21" s="376"/>
      <c r="F21" s="376"/>
      <c r="G21" s="376"/>
      <c r="H21" s="376"/>
      <c r="I21" s="376"/>
      <c r="J21" s="376"/>
      <c r="K21" s="376"/>
      <c r="L21" s="376"/>
      <c r="M21" s="376"/>
      <c r="N21" s="376"/>
      <c r="O21" s="376"/>
      <c r="P21" s="377"/>
      <c r="Q21" s="375"/>
      <c r="R21" s="376"/>
      <c r="S21" s="376"/>
      <c r="T21" s="376"/>
      <c r="U21" s="376"/>
      <c r="V21" s="376"/>
      <c r="W21" s="376"/>
      <c r="X21" s="376"/>
      <c r="Y21" s="376">
        <v>297</v>
      </c>
      <c r="Z21" s="376"/>
      <c r="AA21" s="376"/>
      <c r="AB21" s="376">
        <f>+'[7]TH ĐV'!V10-600</f>
        <v>13769.179193400001</v>
      </c>
      <c r="AC21" s="376"/>
      <c r="AD21" s="376">
        <f t="shared" si="23"/>
        <v>13472.179193400001</v>
      </c>
      <c r="AE21" s="381">
        <f t="shared" si="24"/>
        <v>13472.179193400001</v>
      </c>
      <c r="AF21" s="381">
        <f t="shared" si="24"/>
        <v>0</v>
      </c>
      <c r="AG21" s="376">
        <f t="shared" si="25"/>
        <v>0</v>
      </c>
      <c r="AH21" s="376"/>
      <c r="AI21" s="376"/>
      <c r="AJ21" s="376">
        <f t="shared" si="26"/>
        <v>0</v>
      </c>
      <c r="AK21" s="376"/>
      <c r="AL21" s="376"/>
      <c r="AM21" s="376">
        <f t="shared" si="27"/>
        <v>0</v>
      </c>
      <c r="AN21" s="376"/>
      <c r="AO21" s="376"/>
      <c r="AP21" s="382">
        <f t="shared" si="3"/>
        <v>0</v>
      </c>
      <c r="AQ21" s="382">
        <f t="shared" si="4"/>
        <v>0</v>
      </c>
      <c r="AR21" s="382" t="e">
        <f t="shared" si="5"/>
        <v>#DIV/0!</v>
      </c>
      <c r="AS21" s="382" t="e">
        <f t="shared" si="6"/>
        <v>#DIV/0!</v>
      </c>
      <c r="AT21" s="383"/>
      <c r="AW21" s="384"/>
    </row>
    <row r="22" spans="1:49" s="108" customFormat="1" ht="20.100000000000001" hidden="1" customHeight="1" x14ac:dyDescent="0.3">
      <c r="A22" s="385" t="s">
        <v>198</v>
      </c>
      <c r="B22" s="375" t="s">
        <v>199</v>
      </c>
      <c r="C22" s="376"/>
      <c r="D22" s="376"/>
      <c r="E22" s="376"/>
      <c r="F22" s="376"/>
      <c r="G22" s="376"/>
      <c r="H22" s="376"/>
      <c r="I22" s="376"/>
      <c r="J22" s="376"/>
      <c r="K22" s="376"/>
      <c r="L22" s="376"/>
      <c r="M22" s="376"/>
      <c r="N22" s="376"/>
      <c r="O22" s="376"/>
      <c r="P22" s="377"/>
      <c r="Q22" s="375"/>
      <c r="R22" s="376"/>
      <c r="S22" s="376"/>
      <c r="T22" s="376"/>
      <c r="U22" s="376"/>
      <c r="V22" s="376"/>
      <c r="W22" s="376"/>
      <c r="X22" s="376"/>
      <c r="Y22" s="376">
        <v>124</v>
      </c>
      <c r="Z22" s="376"/>
      <c r="AA22" s="376"/>
      <c r="AB22" s="376">
        <f>+'[7]TH ĐV'!V31+'[7]TH ĐV'!V36-300</f>
        <v>10123.784842199999</v>
      </c>
      <c r="AC22" s="376"/>
      <c r="AD22" s="376">
        <f t="shared" si="23"/>
        <v>9999.7848421999988</v>
      </c>
      <c r="AE22" s="381">
        <f t="shared" si="24"/>
        <v>9999.7848421999988</v>
      </c>
      <c r="AF22" s="381">
        <f t="shared" si="24"/>
        <v>0</v>
      </c>
      <c r="AG22" s="376">
        <f t="shared" si="25"/>
        <v>0</v>
      </c>
      <c r="AH22" s="376"/>
      <c r="AI22" s="376"/>
      <c r="AJ22" s="376">
        <f t="shared" si="26"/>
        <v>0</v>
      </c>
      <c r="AK22" s="376"/>
      <c r="AL22" s="376"/>
      <c r="AM22" s="376">
        <f t="shared" si="27"/>
        <v>0</v>
      </c>
      <c r="AN22" s="376"/>
      <c r="AO22" s="376"/>
      <c r="AP22" s="382">
        <f t="shared" si="3"/>
        <v>0</v>
      </c>
      <c r="AQ22" s="382">
        <f t="shared" si="4"/>
        <v>0</v>
      </c>
      <c r="AR22" s="382" t="e">
        <f t="shared" si="5"/>
        <v>#DIV/0!</v>
      </c>
      <c r="AS22" s="382" t="e">
        <f t="shared" si="6"/>
        <v>#DIV/0!</v>
      </c>
      <c r="AT22" s="383"/>
      <c r="AW22" s="384"/>
    </row>
    <row r="23" spans="1:49" s="108" customFormat="1" ht="20.100000000000001" hidden="1" customHeight="1" x14ac:dyDescent="0.3">
      <c r="A23" s="385" t="s">
        <v>198</v>
      </c>
      <c r="B23" s="375" t="s">
        <v>200</v>
      </c>
      <c r="C23" s="376"/>
      <c r="D23" s="376"/>
      <c r="E23" s="376"/>
      <c r="F23" s="376"/>
      <c r="G23" s="376"/>
      <c r="H23" s="376"/>
      <c r="I23" s="376"/>
      <c r="J23" s="376"/>
      <c r="K23" s="376"/>
      <c r="L23" s="376"/>
      <c r="M23" s="376"/>
      <c r="N23" s="376"/>
      <c r="O23" s="376"/>
      <c r="P23" s="377"/>
      <c r="Q23" s="375"/>
      <c r="R23" s="376"/>
      <c r="S23" s="376"/>
      <c r="T23" s="376"/>
      <c r="U23" s="376"/>
      <c r="V23" s="376"/>
      <c r="W23" s="376"/>
      <c r="X23" s="376"/>
      <c r="Y23" s="376">
        <v>70</v>
      </c>
      <c r="Z23" s="376"/>
      <c r="AA23" s="376"/>
      <c r="AB23" s="376">
        <v>900</v>
      </c>
      <c r="AC23" s="376"/>
      <c r="AD23" s="376">
        <f t="shared" si="23"/>
        <v>830</v>
      </c>
      <c r="AE23" s="381">
        <f t="shared" si="24"/>
        <v>830</v>
      </c>
      <c r="AF23" s="381">
        <f t="shared" si="24"/>
        <v>0</v>
      </c>
      <c r="AG23" s="376">
        <f t="shared" si="25"/>
        <v>0</v>
      </c>
      <c r="AH23" s="376"/>
      <c r="AI23" s="376"/>
      <c r="AJ23" s="376">
        <f t="shared" si="26"/>
        <v>0</v>
      </c>
      <c r="AK23" s="376"/>
      <c r="AL23" s="376"/>
      <c r="AM23" s="376">
        <f t="shared" si="27"/>
        <v>0</v>
      </c>
      <c r="AN23" s="376"/>
      <c r="AO23" s="376"/>
      <c r="AP23" s="382">
        <f t="shared" ref="AP23:AR54" si="30">AJ23/AD23</f>
        <v>0</v>
      </c>
      <c r="AQ23" s="382">
        <f t="shared" si="30"/>
        <v>0</v>
      </c>
      <c r="AR23" s="382" t="e">
        <f t="shared" si="30"/>
        <v>#DIV/0!</v>
      </c>
      <c r="AS23" s="382" t="e">
        <f t="shared" si="6"/>
        <v>#DIV/0!</v>
      </c>
      <c r="AT23" s="383"/>
      <c r="AW23" s="384"/>
    </row>
    <row r="24" spans="1:49" s="108" customFormat="1" ht="20.100000000000001" hidden="1" customHeight="1" x14ac:dyDescent="0.3">
      <c r="A24" s="385" t="s">
        <v>198</v>
      </c>
      <c r="B24" s="375" t="s">
        <v>201</v>
      </c>
      <c r="C24" s="376"/>
      <c r="D24" s="376"/>
      <c r="E24" s="376"/>
      <c r="F24" s="376"/>
      <c r="G24" s="376"/>
      <c r="H24" s="376"/>
      <c r="I24" s="376"/>
      <c r="J24" s="376"/>
      <c r="K24" s="376"/>
      <c r="L24" s="376"/>
      <c r="M24" s="376"/>
      <c r="N24" s="376"/>
      <c r="O24" s="376"/>
      <c r="P24" s="377"/>
      <c r="Q24" s="375"/>
      <c r="R24" s="376"/>
      <c r="S24" s="376"/>
      <c r="T24" s="376"/>
      <c r="U24" s="376"/>
      <c r="V24" s="376"/>
      <c r="W24" s="376"/>
      <c r="X24" s="376"/>
      <c r="Y24" s="376">
        <v>31</v>
      </c>
      <c r="Z24" s="376"/>
      <c r="AA24" s="376"/>
      <c r="AB24" s="376">
        <v>311</v>
      </c>
      <c r="AC24" s="376"/>
      <c r="AD24" s="376">
        <f t="shared" si="23"/>
        <v>280</v>
      </c>
      <c r="AE24" s="381">
        <f t="shared" si="24"/>
        <v>280</v>
      </c>
      <c r="AF24" s="381">
        <f t="shared" si="24"/>
        <v>0</v>
      </c>
      <c r="AG24" s="376">
        <f t="shared" si="25"/>
        <v>0</v>
      </c>
      <c r="AH24" s="376"/>
      <c r="AI24" s="376"/>
      <c r="AJ24" s="376">
        <f t="shared" si="26"/>
        <v>0</v>
      </c>
      <c r="AK24" s="376"/>
      <c r="AL24" s="376"/>
      <c r="AM24" s="376">
        <f t="shared" si="27"/>
        <v>0</v>
      </c>
      <c r="AN24" s="376"/>
      <c r="AO24" s="376"/>
      <c r="AP24" s="382">
        <f t="shared" si="30"/>
        <v>0</v>
      </c>
      <c r="AQ24" s="382">
        <f t="shared" si="30"/>
        <v>0</v>
      </c>
      <c r="AR24" s="382" t="e">
        <f t="shared" si="30"/>
        <v>#DIV/0!</v>
      </c>
      <c r="AS24" s="382" t="e">
        <f t="shared" si="6"/>
        <v>#DIV/0!</v>
      </c>
      <c r="AT24" s="383"/>
      <c r="AW24" s="384"/>
    </row>
    <row r="25" spans="1:49" s="108" customFormat="1" ht="34.200000000000003" customHeight="1" x14ac:dyDescent="0.3">
      <c r="A25" s="37">
        <v>2</v>
      </c>
      <c r="B25" s="375" t="s">
        <v>65</v>
      </c>
      <c r="C25" s="376">
        <v>12751</v>
      </c>
      <c r="D25" s="376"/>
      <c r="E25" s="376"/>
      <c r="F25" s="376"/>
      <c r="G25" s="376">
        <f>+H25+I25</f>
        <v>10831.642839</v>
      </c>
      <c r="H25" s="376">
        <v>8113</v>
      </c>
      <c r="I25" s="376">
        <f>+'[9]Chi xã (NQ mới)'!DB39</f>
        <v>2718.6428390000001</v>
      </c>
      <c r="J25" s="376">
        <f>+K25+L25</f>
        <v>50</v>
      </c>
      <c r="K25" s="376">
        <v>50</v>
      </c>
      <c r="L25" s="376"/>
      <c r="M25" s="376">
        <f t="shared" si="19"/>
        <v>10781.642839</v>
      </c>
      <c r="N25" s="376">
        <f t="shared" si="28"/>
        <v>8063</v>
      </c>
      <c r="O25" s="376">
        <f t="shared" si="20"/>
        <v>2718.6428390000001</v>
      </c>
      <c r="P25" s="377">
        <f t="shared" si="18"/>
        <v>84.947398941259507</v>
      </c>
      <c r="Q25" s="386"/>
      <c r="R25" s="376"/>
      <c r="S25" s="376"/>
      <c r="T25" s="376"/>
      <c r="U25" s="376" t="e">
        <f>+V25+W25</f>
        <v>#REF!</v>
      </c>
      <c r="V25" s="376">
        <v>8113</v>
      </c>
      <c r="W25" s="376" t="e">
        <f>+'[9]Chi xã (NQ mới)'!DP39</f>
        <v>#REF!</v>
      </c>
      <c r="X25" s="376">
        <f>+Y25+Z25</f>
        <v>31</v>
      </c>
      <c r="Y25" s="376"/>
      <c r="Z25" s="376">
        <v>31</v>
      </c>
      <c r="AA25" s="376">
        <f t="shared" si="21"/>
        <v>14324</v>
      </c>
      <c r="AB25" s="376">
        <v>12008.4</v>
      </c>
      <c r="AC25" s="376">
        <v>2315.6</v>
      </c>
      <c r="AD25" s="376">
        <f t="shared" si="23"/>
        <v>14293</v>
      </c>
      <c r="AE25" s="381">
        <f t="shared" si="24"/>
        <v>12008.4</v>
      </c>
      <c r="AF25" s="381">
        <f t="shared" si="24"/>
        <v>2284.6</v>
      </c>
      <c r="AG25" s="376">
        <f t="shared" si="25"/>
        <v>11783.681375</v>
      </c>
      <c r="AH25" s="376">
        <f>'[7]Nhập data'!C3</f>
        <v>8230.5570000000007</v>
      </c>
      <c r="AI25" s="376">
        <f>'[7]Nhập data'!D3</f>
        <v>3553.1243749999999</v>
      </c>
      <c r="AJ25" s="376">
        <f t="shared" si="26"/>
        <v>19816</v>
      </c>
      <c r="AK25" s="400">
        <v>13008</v>
      </c>
      <c r="AL25" s="400">
        <v>6808</v>
      </c>
      <c r="AM25" s="376">
        <f t="shared" si="27"/>
        <v>19816</v>
      </c>
      <c r="AN25" s="376">
        <v>13008</v>
      </c>
      <c r="AO25" s="376">
        <v>6808</v>
      </c>
      <c r="AP25" s="382">
        <f t="shared" si="30"/>
        <v>1.386412929406003</v>
      </c>
      <c r="AQ25" s="382">
        <f t="shared" si="30"/>
        <v>1.0832417307884481</v>
      </c>
      <c r="AR25" s="382">
        <f t="shared" si="30"/>
        <v>2.9799527269543904</v>
      </c>
      <c r="AS25" s="382">
        <f t="shared" si="6"/>
        <v>1.8653711293910307</v>
      </c>
      <c r="AT25" s="383">
        <f>'[7]Nhập data'!E3</f>
        <v>10623.08711</v>
      </c>
      <c r="AW25" s="384"/>
    </row>
    <row r="26" spans="1:49" s="108" customFormat="1" ht="34.200000000000003" customHeight="1" x14ac:dyDescent="0.3">
      <c r="A26" s="37">
        <v>3</v>
      </c>
      <c r="B26" s="375" t="s">
        <v>66</v>
      </c>
      <c r="C26" s="376">
        <v>4010</v>
      </c>
      <c r="D26" s="376"/>
      <c r="E26" s="376"/>
      <c r="F26" s="376"/>
      <c r="G26" s="376">
        <f t="shared" ref="G26:G54" si="31">+H26+I26</f>
        <v>2012.66444</v>
      </c>
      <c r="H26" s="376">
        <v>949</v>
      </c>
      <c r="I26" s="376">
        <f>+'[9]Chi xã (NQ mới)'!DB44</f>
        <v>1063.66444</v>
      </c>
      <c r="J26" s="376">
        <f>+K26+L26</f>
        <v>47.45</v>
      </c>
      <c r="K26" s="376">
        <f>+H26*0.05</f>
        <v>47.45</v>
      </c>
      <c r="L26" s="376"/>
      <c r="M26" s="376">
        <f t="shared" si="19"/>
        <v>1965.21444</v>
      </c>
      <c r="N26" s="376">
        <f t="shared" si="28"/>
        <v>901.55</v>
      </c>
      <c r="O26" s="376">
        <f t="shared" si="20"/>
        <v>1063.66444</v>
      </c>
      <c r="P26" s="377">
        <f t="shared" si="18"/>
        <v>50.191133167082292</v>
      </c>
      <c r="Q26" s="386"/>
      <c r="R26" s="376"/>
      <c r="S26" s="376"/>
      <c r="T26" s="376"/>
      <c r="U26" s="376" t="e">
        <f t="shared" ref="U26:U34" si="32">+V26+W26</f>
        <v>#REF!</v>
      </c>
      <c r="V26" s="376">
        <v>949</v>
      </c>
      <c r="W26" s="376" t="e">
        <f>+'[9]Chi xã (NQ mới)'!DP44</f>
        <v>#REF!</v>
      </c>
      <c r="X26" s="376">
        <f>+Y26+Z26</f>
        <v>25</v>
      </c>
      <c r="Y26" s="376"/>
      <c r="Z26" s="376">
        <v>25</v>
      </c>
      <c r="AA26" s="376">
        <f t="shared" si="21"/>
        <v>3283</v>
      </c>
      <c r="AB26" s="376">
        <v>2260.4</v>
      </c>
      <c r="AC26" s="376">
        <v>1022.6</v>
      </c>
      <c r="AD26" s="376">
        <f t="shared" si="23"/>
        <v>3258</v>
      </c>
      <c r="AE26" s="381">
        <f t="shared" si="24"/>
        <v>2260.4</v>
      </c>
      <c r="AF26" s="381">
        <f t="shared" si="24"/>
        <v>997.6</v>
      </c>
      <c r="AG26" s="376">
        <f t="shared" si="25"/>
        <v>1812.1754940000001</v>
      </c>
      <c r="AH26" s="376">
        <f>'[7]Nhập data'!C4</f>
        <v>1218.8</v>
      </c>
      <c r="AI26" s="376">
        <f>'[7]Nhập data'!D4</f>
        <v>593.375494</v>
      </c>
      <c r="AJ26" s="376">
        <f t="shared" si="26"/>
        <v>7719</v>
      </c>
      <c r="AK26" s="400">
        <v>6260</v>
      </c>
      <c r="AL26" s="400">
        <v>1459</v>
      </c>
      <c r="AM26" s="376">
        <f t="shared" si="27"/>
        <v>7719</v>
      </c>
      <c r="AN26" s="376">
        <v>6260</v>
      </c>
      <c r="AO26" s="376">
        <v>1459</v>
      </c>
      <c r="AP26" s="382">
        <f t="shared" si="30"/>
        <v>2.3692449355432781</v>
      </c>
      <c r="AQ26" s="382">
        <f t="shared" si="30"/>
        <v>2.7694213413555122</v>
      </c>
      <c r="AR26" s="382">
        <f t="shared" si="30"/>
        <v>1.4625100240577384</v>
      </c>
      <c r="AS26" s="382">
        <f t="shared" si="6"/>
        <v>6.1438453032762101</v>
      </c>
      <c r="AT26" s="383">
        <f>'[7]Nhập data'!F4</f>
        <v>1256.3792900000001</v>
      </c>
      <c r="AW26" s="384"/>
    </row>
    <row r="27" spans="1:49" s="108" customFormat="1" ht="34.200000000000003" customHeight="1" x14ac:dyDescent="0.3">
      <c r="A27" s="37">
        <v>4</v>
      </c>
      <c r="B27" s="375" t="s">
        <v>67</v>
      </c>
      <c r="C27" s="376">
        <v>4551</v>
      </c>
      <c r="D27" s="376"/>
      <c r="E27" s="376"/>
      <c r="F27" s="376"/>
      <c r="G27" s="376">
        <f t="shared" si="31"/>
        <v>5987.6469999999999</v>
      </c>
      <c r="H27" s="376">
        <v>4339</v>
      </c>
      <c r="I27" s="376">
        <f>+'[9]Chi xã (NQ mới)'!DB47</f>
        <v>1648.6469999999999</v>
      </c>
      <c r="J27" s="376"/>
      <c r="K27" s="376"/>
      <c r="L27" s="376"/>
      <c r="M27" s="376">
        <f t="shared" si="19"/>
        <v>5987.6469999999999</v>
      </c>
      <c r="N27" s="376">
        <f t="shared" si="28"/>
        <v>4339</v>
      </c>
      <c r="O27" s="376">
        <f t="shared" si="20"/>
        <v>1648.6469999999999</v>
      </c>
      <c r="P27" s="377">
        <f t="shared" si="18"/>
        <v>131.56772137991649</v>
      </c>
      <c r="Q27" s="386"/>
      <c r="R27" s="376"/>
      <c r="S27" s="376"/>
      <c r="T27" s="376"/>
      <c r="U27" s="376" t="e">
        <f t="shared" si="32"/>
        <v>#REF!</v>
      </c>
      <c r="V27" s="376">
        <v>4339</v>
      </c>
      <c r="W27" s="376" t="e">
        <f>+'[9]Chi xã (NQ mới)'!DP47</f>
        <v>#REF!</v>
      </c>
      <c r="X27" s="376"/>
      <c r="Y27" s="376">
        <v>35</v>
      </c>
      <c r="Z27" s="376">
        <v>162</v>
      </c>
      <c r="AA27" s="376">
        <f t="shared" si="21"/>
        <v>5789</v>
      </c>
      <c r="AB27" s="376">
        <v>3050</v>
      </c>
      <c r="AC27" s="376">
        <v>2739</v>
      </c>
      <c r="AD27" s="376">
        <f t="shared" si="23"/>
        <v>5592</v>
      </c>
      <c r="AE27" s="381">
        <f t="shared" si="24"/>
        <v>3015</v>
      </c>
      <c r="AF27" s="381">
        <f t="shared" si="24"/>
        <v>2577</v>
      </c>
      <c r="AG27" s="376">
        <f t="shared" si="25"/>
        <v>2536.269589</v>
      </c>
      <c r="AH27" s="376">
        <f>'[7]Nhập data'!C8</f>
        <v>1899.940589</v>
      </c>
      <c r="AI27" s="376">
        <f>'[7]Nhập data'!D8</f>
        <v>636.32899999999995</v>
      </c>
      <c r="AJ27" s="376">
        <f t="shared" si="26"/>
        <v>4628</v>
      </c>
      <c r="AK27" s="400">
        <v>3215</v>
      </c>
      <c r="AL27" s="400">
        <v>1413</v>
      </c>
      <c r="AM27" s="376">
        <f t="shared" si="27"/>
        <v>4628</v>
      </c>
      <c r="AN27" s="376">
        <v>3215</v>
      </c>
      <c r="AO27" s="376">
        <v>1413</v>
      </c>
      <c r="AP27" s="382">
        <f t="shared" si="30"/>
        <v>0.82761087267525035</v>
      </c>
      <c r="AQ27" s="382">
        <f t="shared" si="30"/>
        <v>1.066334991708126</v>
      </c>
      <c r="AR27" s="382">
        <f t="shared" si="30"/>
        <v>0.54831199068684522</v>
      </c>
      <c r="AS27" s="382">
        <f t="shared" si="6"/>
        <v>3.3282221176162299</v>
      </c>
      <c r="AT27" s="383">
        <f>'[7]Nhập data'!E8</f>
        <v>1390.532193</v>
      </c>
      <c r="AW27" s="384"/>
    </row>
    <row r="28" spans="1:49" s="108" customFormat="1" ht="34.200000000000003" customHeight="1" x14ac:dyDescent="0.3">
      <c r="A28" s="37">
        <v>5</v>
      </c>
      <c r="B28" s="375" t="s">
        <v>68</v>
      </c>
      <c r="C28" s="376">
        <v>1649</v>
      </c>
      <c r="D28" s="376"/>
      <c r="E28" s="376"/>
      <c r="F28" s="376"/>
      <c r="G28" s="376">
        <f t="shared" si="31"/>
        <v>2707</v>
      </c>
      <c r="H28" s="376">
        <v>1392</v>
      </c>
      <c r="I28" s="376">
        <f>+'[9]Chi xã (NQ mới)'!DB50</f>
        <v>1315</v>
      </c>
      <c r="J28" s="376"/>
      <c r="K28" s="376"/>
      <c r="L28" s="376"/>
      <c r="M28" s="376">
        <f t="shared" si="19"/>
        <v>2707</v>
      </c>
      <c r="N28" s="376">
        <f t="shared" si="28"/>
        <v>1392</v>
      </c>
      <c r="O28" s="376">
        <f t="shared" si="20"/>
        <v>1315</v>
      </c>
      <c r="P28" s="377">
        <f t="shared" si="18"/>
        <v>164.16009702850212</v>
      </c>
      <c r="Q28" s="386"/>
      <c r="R28" s="376"/>
      <c r="S28" s="376"/>
      <c r="T28" s="376"/>
      <c r="U28" s="376" t="e">
        <f t="shared" si="32"/>
        <v>#REF!</v>
      </c>
      <c r="V28" s="376">
        <v>1392</v>
      </c>
      <c r="W28" s="376" t="e">
        <f>+'[9]Chi xã (NQ mới)'!DP50</f>
        <v>#REF!</v>
      </c>
      <c r="X28" s="376"/>
      <c r="Y28" s="376">
        <v>19</v>
      </c>
      <c r="Z28" s="376">
        <v>132</v>
      </c>
      <c r="AA28" s="376">
        <f t="shared" si="21"/>
        <v>2504</v>
      </c>
      <c r="AB28" s="376">
        <v>1320</v>
      </c>
      <c r="AC28" s="376">
        <v>1184</v>
      </c>
      <c r="AD28" s="376">
        <f t="shared" si="23"/>
        <v>2353</v>
      </c>
      <c r="AE28" s="381">
        <f t="shared" si="24"/>
        <v>1301</v>
      </c>
      <c r="AF28" s="381">
        <f t="shared" si="24"/>
        <v>1052</v>
      </c>
      <c r="AG28" s="376">
        <f t="shared" si="25"/>
        <v>833.45936800000004</v>
      </c>
      <c r="AH28" s="376">
        <f>'[7]Nhập data'!C9</f>
        <v>609.96794199999999</v>
      </c>
      <c r="AI28" s="376">
        <f>'[7]Nhập data'!D9</f>
        <v>223.49142599999999</v>
      </c>
      <c r="AJ28" s="376">
        <f t="shared" si="26"/>
        <v>1560</v>
      </c>
      <c r="AK28" s="400">
        <v>1151</v>
      </c>
      <c r="AL28" s="400">
        <v>409</v>
      </c>
      <c r="AM28" s="376">
        <f t="shared" si="27"/>
        <v>1560</v>
      </c>
      <c r="AN28" s="376">
        <v>1151</v>
      </c>
      <c r="AO28" s="376">
        <v>409</v>
      </c>
      <c r="AP28" s="382">
        <f t="shared" si="30"/>
        <v>0.66298342541436461</v>
      </c>
      <c r="AQ28" s="382">
        <f t="shared" si="30"/>
        <v>0.88470407378939275</v>
      </c>
      <c r="AR28" s="382">
        <f t="shared" si="30"/>
        <v>0.38878326996197721</v>
      </c>
      <c r="AS28" s="382">
        <f t="shared" si="6"/>
        <v>2.3631005198521211</v>
      </c>
      <c r="AT28" s="383">
        <f>'[7]Nhập data'!E9</f>
        <v>660.14965800000004</v>
      </c>
      <c r="AW28" s="384"/>
    </row>
    <row r="29" spans="1:49" s="108" customFormat="1" ht="34.200000000000003" customHeight="1" x14ac:dyDescent="0.3">
      <c r="A29" s="37">
        <v>6</v>
      </c>
      <c r="B29" s="375" t="s">
        <v>69</v>
      </c>
      <c r="C29" s="376">
        <v>1683</v>
      </c>
      <c r="D29" s="376"/>
      <c r="E29" s="376"/>
      <c r="F29" s="376"/>
      <c r="G29" s="376">
        <f t="shared" si="31"/>
        <v>3209.3920399999997</v>
      </c>
      <c r="H29" s="376">
        <v>2037</v>
      </c>
      <c r="I29" s="376">
        <f>+'[9]Chi xã (NQ mới)'!DB53</f>
        <v>1172.39204</v>
      </c>
      <c r="J29" s="376"/>
      <c r="K29" s="376"/>
      <c r="L29" s="376"/>
      <c r="M29" s="376">
        <f t="shared" si="19"/>
        <v>3209.3920399999997</v>
      </c>
      <c r="N29" s="376">
        <f t="shared" si="28"/>
        <v>2037</v>
      </c>
      <c r="O29" s="376">
        <f t="shared" si="20"/>
        <v>1172.39204</v>
      </c>
      <c r="P29" s="377">
        <f t="shared" si="18"/>
        <v>190.69471420083184</v>
      </c>
      <c r="Q29" s="386"/>
      <c r="R29" s="376"/>
      <c r="S29" s="376"/>
      <c r="T29" s="376"/>
      <c r="U29" s="376" t="e">
        <f t="shared" si="32"/>
        <v>#REF!</v>
      </c>
      <c r="V29" s="376">
        <v>2037</v>
      </c>
      <c r="W29" s="376" t="e">
        <f>+'[9]Chi xã (NQ mới)'!DP53</f>
        <v>#REF!</v>
      </c>
      <c r="X29" s="376"/>
      <c r="Y29" s="376">
        <v>8</v>
      </c>
      <c r="Z29" s="376">
        <v>62</v>
      </c>
      <c r="AA29" s="376">
        <f t="shared" si="21"/>
        <v>1849</v>
      </c>
      <c r="AB29" s="376">
        <v>1289</v>
      </c>
      <c r="AC29" s="376">
        <v>560</v>
      </c>
      <c r="AD29" s="376">
        <f t="shared" si="23"/>
        <v>1779</v>
      </c>
      <c r="AE29" s="381">
        <f t="shared" si="24"/>
        <v>1281</v>
      </c>
      <c r="AF29" s="381">
        <f t="shared" si="24"/>
        <v>498</v>
      </c>
      <c r="AG29" s="376">
        <f t="shared" si="25"/>
        <v>726.78730100000007</v>
      </c>
      <c r="AH29" s="376">
        <f>'[7]Nhập data'!C10</f>
        <v>591.57730100000003</v>
      </c>
      <c r="AI29" s="376">
        <f>'[7]Nhập data'!D10</f>
        <v>135.21</v>
      </c>
      <c r="AJ29" s="376">
        <f t="shared" si="26"/>
        <v>1446</v>
      </c>
      <c r="AK29" s="400">
        <v>1184</v>
      </c>
      <c r="AL29" s="400">
        <v>262</v>
      </c>
      <c r="AM29" s="376">
        <f t="shared" si="27"/>
        <v>1446</v>
      </c>
      <c r="AN29" s="376">
        <v>1184</v>
      </c>
      <c r="AO29" s="376">
        <v>262</v>
      </c>
      <c r="AP29" s="382">
        <f t="shared" si="30"/>
        <v>0.81281618887015172</v>
      </c>
      <c r="AQ29" s="382">
        <f t="shared" si="30"/>
        <v>0.92427790788446529</v>
      </c>
      <c r="AR29" s="382">
        <f t="shared" si="30"/>
        <v>0.52610441767068272</v>
      </c>
      <c r="AS29" s="382">
        <f t="shared" si="6"/>
        <v>1.0801546846048717</v>
      </c>
      <c r="AT29" s="383">
        <f>'[7]Nhập data'!E10</f>
        <v>1338.697152</v>
      </c>
      <c r="AW29" s="384"/>
    </row>
    <row r="30" spans="1:49" s="108" customFormat="1" ht="34.200000000000003" customHeight="1" x14ac:dyDescent="0.3">
      <c r="A30" s="37">
        <v>7</v>
      </c>
      <c r="B30" s="375" t="s">
        <v>70</v>
      </c>
      <c r="C30" s="376"/>
      <c r="D30" s="376"/>
      <c r="E30" s="376"/>
      <c r="F30" s="376"/>
      <c r="G30" s="376">
        <f t="shared" si="31"/>
        <v>22074</v>
      </c>
      <c r="H30" s="376">
        <f>10074+12000</f>
        <v>22074</v>
      </c>
      <c r="I30" s="376"/>
      <c r="J30" s="376"/>
      <c r="K30" s="376"/>
      <c r="L30" s="376"/>
      <c r="M30" s="376">
        <f t="shared" si="19"/>
        <v>22074</v>
      </c>
      <c r="N30" s="376">
        <f t="shared" si="28"/>
        <v>22074</v>
      </c>
      <c r="O30" s="376">
        <f t="shared" si="20"/>
        <v>0</v>
      </c>
      <c r="P30" s="377"/>
      <c r="Q30" s="386"/>
      <c r="R30" s="376"/>
      <c r="S30" s="376"/>
      <c r="T30" s="376"/>
      <c r="U30" s="376">
        <f t="shared" si="32"/>
        <v>22074</v>
      </c>
      <c r="V30" s="376">
        <f>10074+12000</f>
        <v>22074</v>
      </c>
      <c r="W30" s="376"/>
      <c r="X30" s="376"/>
      <c r="Y30" s="376"/>
      <c r="Z30" s="376"/>
      <c r="AA30" s="376">
        <f t="shared" si="21"/>
        <v>11317</v>
      </c>
      <c r="AB30" s="376">
        <v>11317</v>
      </c>
      <c r="AC30" s="376">
        <f t="shared" si="22"/>
        <v>0</v>
      </c>
      <c r="AD30" s="376">
        <f t="shared" si="23"/>
        <v>11317</v>
      </c>
      <c r="AE30" s="381">
        <f t="shared" si="24"/>
        <v>11317</v>
      </c>
      <c r="AF30" s="381">
        <f t="shared" si="24"/>
        <v>0</v>
      </c>
      <c r="AG30" s="376">
        <f t="shared" si="25"/>
        <v>4818.4083999999993</v>
      </c>
      <c r="AH30" s="376">
        <f>'[7]Nhập data'!C7</f>
        <v>4710.1283999999996</v>
      </c>
      <c r="AI30" s="376">
        <f>'[7]Nhập data'!D7</f>
        <v>108.28</v>
      </c>
      <c r="AJ30" s="376">
        <f t="shared" si="26"/>
        <v>27521</v>
      </c>
      <c r="AK30" s="400">
        <v>27212</v>
      </c>
      <c r="AL30" s="400">
        <v>309</v>
      </c>
      <c r="AM30" s="376">
        <f t="shared" si="27"/>
        <v>27521</v>
      </c>
      <c r="AN30" s="376">
        <v>27212</v>
      </c>
      <c r="AO30" s="376">
        <v>309</v>
      </c>
      <c r="AP30" s="382">
        <f t="shared" si="30"/>
        <v>2.4318282230273041</v>
      </c>
      <c r="AQ30" s="382">
        <f t="shared" si="30"/>
        <v>2.4045241671821156</v>
      </c>
      <c r="AR30" s="382"/>
      <c r="AS30" s="382">
        <f t="shared" si="6"/>
        <v>2.7181435238034823</v>
      </c>
      <c r="AT30" s="383">
        <f>'[7]Nhập data'!E7</f>
        <v>10124.925251000001</v>
      </c>
      <c r="AW30" s="384"/>
    </row>
    <row r="31" spans="1:49" s="392" customFormat="1" ht="34.200000000000003" hidden="1" customHeight="1" x14ac:dyDescent="0.3">
      <c r="A31" s="387"/>
      <c r="B31" s="388" t="s">
        <v>71</v>
      </c>
      <c r="C31" s="389"/>
      <c r="D31" s="389"/>
      <c r="E31" s="389"/>
      <c r="F31" s="389"/>
      <c r="G31" s="389">
        <f t="shared" si="31"/>
        <v>12000</v>
      </c>
      <c r="H31" s="389">
        <v>12000</v>
      </c>
      <c r="I31" s="389"/>
      <c r="J31" s="389"/>
      <c r="K31" s="389"/>
      <c r="L31" s="389"/>
      <c r="M31" s="376">
        <f t="shared" si="19"/>
        <v>12000</v>
      </c>
      <c r="N31" s="376">
        <f t="shared" si="28"/>
        <v>12000</v>
      </c>
      <c r="O31" s="376">
        <f t="shared" si="20"/>
        <v>0</v>
      </c>
      <c r="P31" s="390"/>
      <c r="Q31" s="388"/>
      <c r="R31" s="389"/>
      <c r="S31" s="389"/>
      <c r="T31" s="389"/>
      <c r="U31" s="389">
        <f t="shared" si="32"/>
        <v>12000</v>
      </c>
      <c r="V31" s="389">
        <v>12000</v>
      </c>
      <c r="W31" s="389"/>
      <c r="X31" s="389"/>
      <c r="Y31" s="389"/>
      <c r="Z31" s="389"/>
      <c r="AA31" s="376">
        <f t="shared" si="21"/>
        <v>0</v>
      </c>
      <c r="AB31" s="376"/>
      <c r="AC31" s="376">
        <f t="shared" si="22"/>
        <v>0</v>
      </c>
      <c r="AD31" s="376">
        <f t="shared" si="23"/>
        <v>0</v>
      </c>
      <c r="AE31" s="381">
        <f t="shared" si="24"/>
        <v>0</v>
      </c>
      <c r="AF31" s="381">
        <f t="shared" si="24"/>
        <v>0</v>
      </c>
      <c r="AG31" s="376">
        <f t="shared" si="25"/>
        <v>0</v>
      </c>
      <c r="AH31" s="389"/>
      <c r="AI31" s="389"/>
      <c r="AJ31" s="376">
        <f t="shared" si="26"/>
        <v>0</v>
      </c>
      <c r="AK31" s="389"/>
      <c r="AL31" s="389"/>
      <c r="AM31" s="376">
        <f t="shared" si="27"/>
        <v>0</v>
      </c>
      <c r="AN31" s="376"/>
      <c r="AO31" s="376"/>
      <c r="AP31" s="382"/>
      <c r="AQ31" s="382"/>
      <c r="AR31" s="382"/>
      <c r="AS31" s="382"/>
      <c r="AT31" s="391"/>
      <c r="AV31" s="108"/>
      <c r="AW31" s="384"/>
    </row>
    <row r="32" spans="1:49" s="108" customFormat="1" ht="34.200000000000003" customHeight="1" x14ac:dyDescent="0.3">
      <c r="A32" s="37">
        <v>8</v>
      </c>
      <c r="B32" s="375" t="s">
        <v>202</v>
      </c>
      <c r="C32" s="376">
        <v>312321</v>
      </c>
      <c r="D32" s="376">
        <f>+E32+F32</f>
        <v>337724</v>
      </c>
      <c r="E32" s="381">
        <v>337724</v>
      </c>
      <c r="F32" s="376"/>
      <c r="G32" s="376">
        <f t="shared" si="31"/>
        <v>337724</v>
      </c>
      <c r="H32" s="376">
        <f>+E32</f>
        <v>337724</v>
      </c>
      <c r="I32" s="376"/>
      <c r="J32" s="376">
        <f>+K32+L32</f>
        <v>5798</v>
      </c>
      <c r="K32" s="376">
        <v>5798</v>
      </c>
      <c r="L32" s="376"/>
      <c r="M32" s="376">
        <f t="shared" si="19"/>
        <v>332441</v>
      </c>
      <c r="N32" s="381">
        <v>332441</v>
      </c>
      <c r="O32" s="376">
        <f t="shared" si="20"/>
        <v>0</v>
      </c>
      <c r="P32" s="377">
        <f t="shared" si="18"/>
        <v>108.13361893692708</v>
      </c>
      <c r="Q32" s="377">
        <f>+G32/D32*100</f>
        <v>100</v>
      </c>
      <c r="R32" s="376"/>
      <c r="S32" s="381">
        <v>345759</v>
      </c>
      <c r="T32" s="376"/>
      <c r="U32" s="376">
        <f t="shared" si="32"/>
        <v>345759</v>
      </c>
      <c r="V32" s="376">
        <f>+S32</f>
        <v>345759</v>
      </c>
      <c r="W32" s="376"/>
      <c r="X32" s="376">
        <f>+Y32+Z32</f>
        <v>11279</v>
      </c>
      <c r="Y32" s="376">
        <v>11279</v>
      </c>
      <c r="Z32" s="376"/>
      <c r="AA32" s="376">
        <f t="shared" si="21"/>
        <v>345759</v>
      </c>
      <c r="AB32" s="381">
        <v>345759</v>
      </c>
      <c r="AC32" s="376">
        <f t="shared" si="22"/>
        <v>0</v>
      </c>
      <c r="AD32" s="376">
        <f t="shared" si="23"/>
        <v>334480</v>
      </c>
      <c r="AE32" s="381">
        <f t="shared" ref="AE32:AF54" si="33">AB32-Y32</f>
        <v>334480</v>
      </c>
      <c r="AF32" s="381">
        <f t="shared" si="33"/>
        <v>0</v>
      </c>
      <c r="AG32" s="376">
        <f t="shared" si="25"/>
        <v>181332.01567200001</v>
      </c>
      <c r="AH32" s="376">
        <f>'[7]Nhập data'!C5</f>
        <v>181332.01567200001</v>
      </c>
      <c r="AI32" s="376">
        <f>'[7]Nhập data'!D5</f>
        <v>0</v>
      </c>
      <c r="AJ32" s="376">
        <f t="shared" si="26"/>
        <v>301634</v>
      </c>
      <c r="AK32" s="400">
        <v>301629</v>
      </c>
      <c r="AL32" s="400">
        <v>5</v>
      </c>
      <c r="AM32" s="376">
        <f t="shared" si="27"/>
        <v>301634</v>
      </c>
      <c r="AN32" s="376">
        <v>301629</v>
      </c>
      <c r="AO32" s="376">
        <v>5</v>
      </c>
      <c r="AP32" s="382">
        <f t="shared" si="30"/>
        <v>0.90179980865821574</v>
      </c>
      <c r="AQ32" s="382">
        <f t="shared" si="30"/>
        <v>0.90178486008132031</v>
      </c>
      <c r="AR32" s="382"/>
      <c r="AS32" s="382">
        <f t="shared" si="6"/>
        <v>2.0488229980661354</v>
      </c>
      <c r="AT32" s="383">
        <f>'[7]Nhập data'!E5</f>
        <v>147223.064308</v>
      </c>
      <c r="AW32" s="384"/>
    </row>
    <row r="33" spans="1:49" s="108" customFormat="1" ht="34.200000000000003" customHeight="1" x14ac:dyDescent="0.3">
      <c r="A33" s="37">
        <v>9</v>
      </c>
      <c r="B33" s="375" t="s">
        <v>72</v>
      </c>
      <c r="C33" s="376">
        <v>270551</v>
      </c>
      <c r="D33" s="376"/>
      <c r="E33" s="376"/>
      <c r="F33" s="376"/>
      <c r="G33" s="376">
        <f t="shared" si="31"/>
        <v>68331.904599999994</v>
      </c>
      <c r="H33" s="376">
        <f>+'[8]Tổng chi'!$H$25</f>
        <v>62449</v>
      </c>
      <c r="I33" s="376">
        <f>+'[9]Chi xã (NQ mới)'!DB58</f>
        <v>5882.9045999999998</v>
      </c>
      <c r="J33" s="376">
        <f t="shared" ref="J33:J54" si="34">+K33+L33</f>
        <v>50</v>
      </c>
      <c r="K33" s="376">
        <v>50</v>
      </c>
      <c r="L33" s="376"/>
      <c r="M33" s="376">
        <f t="shared" si="19"/>
        <v>68281.904599999994</v>
      </c>
      <c r="N33" s="376">
        <f t="shared" si="28"/>
        <v>62399</v>
      </c>
      <c r="O33" s="376">
        <f t="shared" si="20"/>
        <v>5882.9045999999998</v>
      </c>
      <c r="P33" s="377">
        <f t="shared" si="18"/>
        <v>25.256570702011814</v>
      </c>
      <c r="Q33" s="386"/>
      <c r="R33" s="376"/>
      <c r="S33" s="376"/>
      <c r="T33" s="376"/>
      <c r="U33" s="376" t="e">
        <f t="shared" si="32"/>
        <v>#REF!</v>
      </c>
      <c r="V33" s="376">
        <f>+'[8]Tổng chi'!$H$25</f>
        <v>62449</v>
      </c>
      <c r="W33" s="376" t="e">
        <f>+'[9]Chi xã (NQ mới)'!DP58</f>
        <v>#REF!</v>
      </c>
      <c r="X33" s="376">
        <f t="shared" ref="X33:X52" si="35">+Y33+Z33</f>
        <v>117</v>
      </c>
      <c r="Y33" s="376"/>
      <c r="Z33" s="376">
        <v>117</v>
      </c>
      <c r="AA33" s="376">
        <f t="shared" si="21"/>
        <v>56965</v>
      </c>
      <c r="AB33" s="376">
        <v>50984</v>
      </c>
      <c r="AC33" s="376">
        <v>5981</v>
      </c>
      <c r="AD33" s="376">
        <f t="shared" si="23"/>
        <v>56848</v>
      </c>
      <c r="AE33" s="381">
        <f t="shared" si="33"/>
        <v>50984</v>
      </c>
      <c r="AF33" s="381">
        <f t="shared" si="33"/>
        <v>5864</v>
      </c>
      <c r="AG33" s="376">
        <f t="shared" si="25"/>
        <v>34879.225599999998</v>
      </c>
      <c r="AH33" s="376">
        <f>'[7]Nhập data'!C14</f>
        <v>32295.5933</v>
      </c>
      <c r="AI33" s="376">
        <f>'[7]Nhập data'!D14</f>
        <v>2583.6323000000002</v>
      </c>
      <c r="AJ33" s="376">
        <f t="shared" si="26"/>
        <v>55070</v>
      </c>
      <c r="AK33" s="400">
        <v>50234</v>
      </c>
      <c r="AL33" s="400">
        <v>4836</v>
      </c>
      <c r="AM33" s="376">
        <f t="shared" si="27"/>
        <v>55070</v>
      </c>
      <c r="AN33" s="376">
        <v>50234</v>
      </c>
      <c r="AO33" s="376">
        <v>4836</v>
      </c>
      <c r="AP33" s="382">
        <f t="shared" si="30"/>
        <v>0.96872361384745287</v>
      </c>
      <c r="AQ33" s="382">
        <f t="shared" si="30"/>
        <v>0.98528950258904757</v>
      </c>
      <c r="AR33" s="382">
        <f t="shared" si="30"/>
        <v>0.82469304229195084</v>
      </c>
      <c r="AS33" s="382">
        <f t="shared" si="6"/>
        <v>0.72761742841718535</v>
      </c>
      <c r="AT33" s="383">
        <f>'[7]Nhập data'!E14</f>
        <v>75685.377850000004</v>
      </c>
      <c r="AV33" s="392"/>
      <c r="AW33" s="384"/>
    </row>
    <row r="34" spans="1:49" s="108" customFormat="1" ht="34.200000000000003" customHeight="1" x14ac:dyDescent="0.3">
      <c r="A34" s="37">
        <v>10</v>
      </c>
      <c r="B34" s="375" t="s">
        <v>73</v>
      </c>
      <c r="C34" s="376">
        <v>56697</v>
      </c>
      <c r="D34" s="376"/>
      <c r="E34" s="376"/>
      <c r="F34" s="376"/>
      <c r="G34" s="376">
        <f t="shared" si="31"/>
        <v>52200.822114000002</v>
      </c>
      <c r="H34" s="376">
        <f>SUM(H36,H38:H44)</f>
        <v>43595</v>
      </c>
      <c r="I34" s="376">
        <f>+'[9]Chi xã (NQ mới)'!DB63</f>
        <v>8605.8221140000005</v>
      </c>
      <c r="J34" s="376">
        <f t="shared" si="34"/>
        <v>570</v>
      </c>
      <c r="K34" s="376">
        <f>SUM(K36,K38:K44)</f>
        <v>570</v>
      </c>
      <c r="L34" s="376"/>
      <c r="M34" s="376">
        <f t="shared" si="19"/>
        <v>51630.822114000002</v>
      </c>
      <c r="N34" s="376">
        <f>SUM(N36,N38:N44)</f>
        <v>43025</v>
      </c>
      <c r="O34" s="376">
        <f t="shared" si="20"/>
        <v>8605.8221140000005</v>
      </c>
      <c r="P34" s="377">
        <f t="shared" si="18"/>
        <v>92.069813418699411</v>
      </c>
      <c r="Q34" s="386"/>
      <c r="R34" s="376"/>
      <c r="S34" s="376"/>
      <c r="T34" s="376"/>
      <c r="U34" s="376" t="e">
        <f t="shared" si="32"/>
        <v>#REF!</v>
      </c>
      <c r="V34" s="376">
        <f>SUM(V36,V38:V44)</f>
        <v>43595</v>
      </c>
      <c r="W34" s="376" t="e">
        <f>+'[9]Chi xã (NQ mới)'!DP63</f>
        <v>#REF!</v>
      </c>
      <c r="X34" s="376">
        <f t="shared" si="35"/>
        <v>1422</v>
      </c>
      <c r="Y34" s="376">
        <v>1068</v>
      </c>
      <c r="Z34" s="376">
        <v>354</v>
      </c>
      <c r="AA34" s="376">
        <f t="shared" si="21"/>
        <v>39209</v>
      </c>
      <c r="AB34" s="376">
        <f>SUM(AB36,AB38:AB44)-7000</f>
        <v>36025</v>
      </c>
      <c r="AC34" s="376">
        <v>3184</v>
      </c>
      <c r="AD34" s="376">
        <f t="shared" si="23"/>
        <v>37787</v>
      </c>
      <c r="AE34" s="381">
        <f t="shared" si="33"/>
        <v>34957</v>
      </c>
      <c r="AF34" s="381">
        <f t="shared" si="33"/>
        <v>2830</v>
      </c>
      <c r="AG34" s="376">
        <f t="shared" si="25"/>
        <v>19458.479163</v>
      </c>
      <c r="AH34" s="376">
        <f>'[7]Nhập data'!C12</f>
        <v>17630.905863</v>
      </c>
      <c r="AI34" s="376">
        <f>'[7]Nhập data'!D12</f>
        <v>1827.5733</v>
      </c>
      <c r="AJ34" s="376">
        <f t="shared" si="26"/>
        <v>36234</v>
      </c>
      <c r="AK34" s="400">
        <v>33832</v>
      </c>
      <c r="AL34" s="400">
        <v>2402</v>
      </c>
      <c r="AM34" s="376">
        <f t="shared" si="27"/>
        <v>36234</v>
      </c>
      <c r="AN34" s="376">
        <v>33832</v>
      </c>
      <c r="AO34" s="376">
        <v>2402</v>
      </c>
      <c r="AP34" s="382">
        <f t="shared" si="30"/>
        <v>0.95890120941064383</v>
      </c>
      <c r="AQ34" s="382">
        <f t="shared" si="30"/>
        <v>0.9678176044855108</v>
      </c>
      <c r="AR34" s="382">
        <f t="shared" si="30"/>
        <v>0.84876325088339222</v>
      </c>
      <c r="AS34" s="382">
        <f t="shared" si="6"/>
        <v>4.3217604999909875</v>
      </c>
      <c r="AT34" s="383">
        <f>'[7]Nhập data'!E12</f>
        <v>8384.0832919999993</v>
      </c>
      <c r="AW34" s="384"/>
    </row>
    <row r="35" spans="1:49" s="392" customFormat="1" hidden="1" x14ac:dyDescent="0.3">
      <c r="A35" s="387"/>
      <c r="B35" s="388" t="s">
        <v>74</v>
      </c>
      <c r="C35" s="389"/>
      <c r="D35" s="389"/>
      <c r="E35" s="389"/>
      <c r="F35" s="389"/>
      <c r="G35" s="389"/>
      <c r="H35" s="389"/>
      <c r="I35" s="389"/>
      <c r="J35" s="376">
        <f t="shared" si="34"/>
        <v>0</v>
      </c>
      <c r="K35" s="389"/>
      <c r="L35" s="389"/>
      <c r="M35" s="376">
        <f t="shared" si="19"/>
        <v>0</v>
      </c>
      <c r="N35" s="376">
        <f t="shared" si="28"/>
        <v>0</v>
      </c>
      <c r="O35" s="376">
        <f t="shared" si="20"/>
        <v>0</v>
      </c>
      <c r="P35" s="390"/>
      <c r="Q35" s="388"/>
      <c r="R35" s="389"/>
      <c r="S35" s="389"/>
      <c r="T35" s="389"/>
      <c r="U35" s="389"/>
      <c r="V35" s="389"/>
      <c r="W35" s="389"/>
      <c r="X35" s="376">
        <f t="shared" si="35"/>
        <v>0</v>
      </c>
      <c r="Y35" s="389"/>
      <c r="Z35" s="389"/>
      <c r="AA35" s="376">
        <f t="shared" si="21"/>
        <v>0</v>
      </c>
      <c r="AB35" s="376">
        <f t="shared" ref="AB35:AB44" si="36">+V35-Y35</f>
        <v>0</v>
      </c>
      <c r="AC35" s="376">
        <f t="shared" si="22"/>
        <v>0</v>
      </c>
      <c r="AD35" s="376">
        <f t="shared" si="23"/>
        <v>0</v>
      </c>
      <c r="AE35" s="381">
        <f t="shared" si="33"/>
        <v>0</v>
      </c>
      <c r="AF35" s="381">
        <f t="shared" si="33"/>
        <v>0</v>
      </c>
      <c r="AG35" s="376">
        <f t="shared" si="25"/>
        <v>0</v>
      </c>
      <c r="AH35" s="389"/>
      <c r="AI35" s="389"/>
      <c r="AJ35" s="376">
        <f t="shared" si="26"/>
        <v>0</v>
      </c>
      <c r="AK35" s="376">
        <f t="shared" ref="AK35:AL44" si="37">AH35/5*6</f>
        <v>0</v>
      </c>
      <c r="AL35" s="376">
        <f t="shared" si="37"/>
        <v>0</v>
      </c>
      <c r="AM35" s="376">
        <f t="shared" si="27"/>
        <v>0</v>
      </c>
      <c r="AN35" s="376">
        <f t="shared" ref="AN35:AN44" si="38">AK35/5*6</f>
        <v>0</v>
      </c>
      <c r="AO35" s="376">
        <f t="shared" ref="AO35:AO44" si="39">AL35/5*6</f>
        <v>0</v>
      </c>
      <c r="AP35" s="382" t="e">
        <f t="shared" si="30"/>
        <v>#DIV/0!</v>
      </c>
      <c r="AQ35" s="382" t="e">
        <f t="shared" si="30"/>
        <v>#DIV/0!</v>
      </c>
      <c r="AR35" s="382" t="e">
        <f t="shared" si="30"/>
        <v>#DIV/0!</v>
      </c>
      <c r="AS35" s="382" t="e">
        <f t="shared" si="6"/>
        <v>#DIV/0!</v>
      </c>
      <c r="AT35" s="391"/>
      <c r="AV35" s="108"/>
      <c r="AW35" s="384"/>
    </row>
    <row r="36" spans="1:49" s="392" customFormat="1" hidden="1" x14ac:dyDescent="0.3">
      <c r="A36" s="387" t="s">
        <v>16</v>
      </c>
      <c r="B36" s="393" t="s">
        <v>75</v>
      </c>
      <c r="C36" s="389"/>
      <c r="D36" s="389"/>
      <c r="E36" s="389"/>
      <c r="F36" s="389"/>
      <c r="G36" s="389"/>
      <c r="H36" s="389">
        <f>1500+1600</f>
        <v>3100</v>
      </c>
      <c r="I36" s="389"/>
      <c r="J36" s="376">
        <f t="shared" si="34"/>
        <v>50</v>
      </c>
      <c r="K36" s="389">
        <v>50</v>
      </c>
      <c r="L36" s="389"/>
      <c r="M36" s="376">
        <f t="shared" si="19"/>
        <v>3050</v>
      </c>
      <c r="N36" s="376">
        <f t="shared" si="28"/>
        <v>3050</v>
      </c>
      <c r="O36" s="376">
        <f t="shared" si="20"/>
        <v>0</v>
      </c>
      <c r="P36" s="390"/>
      <c r="Q36" s="388"/>
      <c r="R36" s="389"/>
      <c r="S36" s="389"/>
      <c r="T36" s="389"/>
      <c r="U36" s="389"/>
      <c r="V36" s="389">
        <f>1500+1600</f>
        <v>3100</v>
      </c>
      <c r="W36" s="389"/>
      <c r="X36" s="376">
        <f t="shared" si="35"/>
        <v>50</v>
      </c>
      <c r="Y36" s="389">
        <v>50</v>
      </c>
      <c r="Z36" s="389"/>
      <c r="AA36" s="376">
        <f t="shared" si="21"/>
        <v>3050</v>
      </c>
      <c r="AB36" s="376">
        <f t="shared" si="36"/>
        <v>3050</v>
      </c>
      <c r="AC36" s="376">
        <f t="shared" si="22"/>
        <v>0</v>
      </c>
      <c r="AD36" s="376">
        <f t="shared" si="23"/>
        <v>3000</v>
      </c>
      <c r="AE36" s="381">
        <f t="shared" si="33"/>
        <v>3000</v>
      </c>
      <c r="AF36" s="381">
        <f t="shared" si="33"/>
        <v>0</v>
      </c>
      <c r="AG36" s="376">
        <f t="shared" si="25"/>
        <v>0</v>
      </c>
      <c r="AH36" s="389"/>
      <c r="AI36" s="389"/>
      <c r="AJ36" s="376">
        <f t="shared" si="26"/>
        <v>0</v>
      </c>
      <c r="AK36" s="376">
        <f t="shared" si="37"/>
        <v>0</v>
      </c>
      <c r="AL36" s="376">
        <f t="shared" si="37"/>
        <v>0</v>
      </c>
      <c r="AM36" s="376">
        <f t="shared" si="27"/>
        <v>0</v>
      </c>
      <c r="AN36" s="376">
        <f t="shared" si="38"/>
        <v>0</v>
      </c>
      <c r="AO36" s="376">
        <f t="shared" si="39"/>
        <v>0</v>
      </c>
      <c r="AP36" s="382">
        <f t="shared" si="30"/>
        <v>0</v>
      </c>
      <c r="AQ36" s="382">
        <f t="shared" si="30"/>
        <v>0</v>
      </c>
      <c r="AR36" s="382" t="e">
        <f t="shared" si="30"/>
        <v>#DIV/0!</v>
      </c>
      <c r="AS36" s="382" t="e">
        <f t="shared" si="6"/>
        <v>#DIV/0!</v>
      </c>
      <c r="AT36" s="391"/>
      <c r="AV36" s="108"/>
      <c r="AW36" s="384"/>
    </row>
    <row r="37" spans="1:49" s="392" customFormat="1" ht="46.8" hidden="1" x14ac:dyDescent="0.3">
      <c r="A37" s="387"/>
      <c r="B37" s="394" t="s">
        <v>76</v>
      </c>
      <c r="C37" s="389"/>
      <c r="D37" s="389"/>
      <c r="E37" s="389"/>
      <c r="F37" s="389"/>
      <c r="G37" s="389"/>
      <c r="H37" s="389">
        <v>1600</v>
      </c>
      <c r="I37" s="389"/>
      <c r="J37" s="376">
        <f t="shared" si="34"/>
        <v>33</v>
      </c>
      <c r="K37" s="389">
        <v>33</v>
      </c>
      <c r="L37" s="389"/>
      <c r="M37" s="376">
        <f t="shared" si="19"/>
        <v>1567</v>
      </c>
      <c r="N37" s="376">
        <f t="shared" si="28"/>
        <v>1567</v>
      </c>
      <c r="O37" s="376">
        <f t="shared" si="20"/>
        <v>0</v>
      </c>
      <c r="P37" s="390"/>
      <c r="Q37" s="388"/>
      <c r="R37" s="389"/>
      <c r="S37" s="389"/>
      <c r="T37" s="389"/>
      <c r="U37" s="389"/>
      <c r="V37" s="389">
        <v>1600</v>
      </c>
      <c r="W37" s="389"/>
      <c r="X37" s="376">
        <f t="shared" si="35"/>
        <v>33</v>
      </c>
      <c r="Y37" s="389">
        <v>33</v>
      </c>
      <c r="Z37" s="389"/>
      <c r="AA37" s="376">
        <f t="shared" si="21"/>
        <v>1567</v>
      </c>
      <c r="AB37" s="376">
        <f t="shared" si="36"/>
        <v>1567</v>
      </c>
      <c r="AC37" s="376">
        <f t="shared" si="22"/>
        <v>0</v>
      </c>
      <c r="AD37" s="376">
        <f t="shared" si="23"/>
        <v>1534</v>
      </c>
      <c r="AE37" s="381">
        <f t="shared" si="33"/>
        <v>1534</v>
      </c>
      <c r="AF37" s="381">
        <f t="shared" si="33"/>
        <v>0</v>
      </c>
      <c r="AG37" s="376">
        <f t="shared" si="25"/>
        <v>0</v>
      </c>
      <c r="AH37" s="389"/>
      <c r="AI37" s="389"/>
      <c r="AJ37" s="376">
        <f t="shared" si="26"/>
        <v>0</v>
      </c>
      <c r="AK37" s="376">
        <f t="shared" si="37"/>
        <v>0</v>
      </c>
      <c r="AL37" s="376">
        <f t="shared" si="37"/>
        <v>0</v>
      </c>
      <c r="AM37" s="376">
        <f t="shared" si="27"/>
        <v>0</v>
      </c>
      <c r="AN37" s="376">
        <f t="shared" si="38"/>
        <v>0</v>
      </c>
      <c r="AO37" s="376">
        <f t="shared" si="39"/>
        <v>0</v>
      </c>
      <c r="AP37" s="382">
        <f t="shared" si="30"/>
        <v>0</v>
      </c>
      <c r="AQ37" s="382">
        <f t="shared" si="30"/>
        <v>0</v>
      </c>
      <c r="AR37" s="382" t="e">
        <f t="shared" si="30"/>
        <v>#DIV/0!</v>
      </c>
      <c r="AS37" s="382" t="e">
        <f t="shared" si="6"/>
        <v>#DIV/0!</v>
      </c>
      <c r="AT37" s="391"/>
      <c r="AW37" s="384"/>
    </row>
    <row r="38" spans="1:49" s="392" customFormat="1" hidden="1" x14ac:dyDescent="0.3">
      <c r="A38" s="387" t="s">
        <v>18</v>
      </c>
      <c r="B38" s="393" t="s">
        <v>77</v>
      </c>
      <c r="C38" s="389"/>
      <c r="D38" s="389"/>
      <c r="E38" s="389"/>
      <c r="F38" s="389"/>
      <c r="G38" s="389"/>
      <c r="H38" s="389">
        <v>310</v>
      </c>
      <c r="I38" s="389"/>
      <c r="J38" s="376">
        <f t="shared" si="34"/>
        <v>0</v>
      </c>
      <c r="K38" s="389"/>
      <c r="L38" s="389"/>
      <c r="M38" s="376">
        <f t="shared" si="19"/>
        <v>310</v>
      </c>
      <c r="N38" s="376">
        <f t="shared" si="28"/>
        <v>310</v>
      </c>
      <c r="O38" s="376">
        <f t="shared" si="20"/>
        <v>0</v>
      </c>
      <c r="P38" s="390"/>
      <c r="Q38" s="388"/>
      <c r="R38" s="389"/>
      <c r="S38" s="389"/>
      <c r="T38" s="389"/>
      <c r="U38" s="389"/>
      <c r="V38" s="389">
        <v>310</v>
      </c>
      <c r="W38" s="389"/>
      <c r="X38" s="376" t="e">
        <f t="shared" si="35"/>
        <v>#REF!</v>
      </c>
      <c r="Y38" s="389"/>
      <c r="Z38" s="389" t="e">
        <f>+AA38+AB38+AC38+#REF!</f>
        <v>#REF!</v>
      </c>
      <c r="AA38" s="376">
        <f t="shared" si="21"/>
        <v>310</v>
      </c>
      <c r="AB38" s="376">
        <f t="shared" si="36"/>
        <v>310</v>
      </c>
      <c r="AC38" s="376">
        <f>+AC39+AC40</f>
        <v>0</v>
      </c>
      <c r="AD38" s="376" t="e">
        <f t="shared" si="23"/>
        <v>#REF!</v>
      </c>
      <c r="AE38" s="381">
        <f t="shared" si="33"/>
        <v>310</v>
      </c>
      <c r="AF38" s="381" t="e">
        <f t="shared" si="33"/>
        <v>#REF!</v>
      </c>
      <c r="AG38" s="376">
        <f t="shared" si="25"/>
        <v>0</v>
      </c>
      <c r="AH38" s="389"/>
      <c r="AI38" s="389"/>
      <c r="AJ38" s="376">
        <f t="shared" si="26"/>
        <v>0</v>
      </c>
      <c r="AK38" s="376">
        <f t="shared" si="37"/>
        <v>0</v>
      </c>
      <c r="AL38" s="376">
        <f t="shared" si="37"/>
        <v>0</v>
      </c>
      <c r="AM38" s="376">
        <f t="shared" si="27"/>
        <v>0</v>
      </c>
      <c r="AN38" s="376">
        <f t="shared" si="38"/>
        <v>0</v>
      </c>
      <c r="AO38" s="376">
        <f t="shared" si="39"/>
        <v>0</v>
      </c>
      <c r="AP38" s="382" t="e">
        <f t="shared" si="30"/>
        <v>#REF!</v>
      </c>
      <c r="AQ38" s="382">
        <f t="shared" si="30"/>
        <v>0</v>
      </c>
      <c r="AR38" s="382" t="e">
        <f t="shared" si="30"/>
        <v>#REF!</v>
      </c>
      <c r="AS38" s="382" t="e">
        <f t="shared" si="6"/>
        <v>#DIV/0!</v>
      </c>
      <c r="AT38" s="391"/>
      <c r="AW38" s="384"/>
    </row>
    <row r="39" spans="1:49" s="392" customFormat="1" hidden="1" x14ac:dyDescent="0.3">
      <c r="A39" s="387" t="s">
        <v>78</v>
      </c>
      <c r="B39" s="393" t="s">
        <v>79</v>
      </c>
      <c r="C39" s="389"/>
      <c r="D39" s="389"/>
      <c r="E39" s="389"/>
      <c r="F39" s="389"/>
      <c r="G39" s="389"/>
      <c r="H39" s="389">
        <v>7500</v>
      </c>
      <c r="I39" s="389"/>
      <c r="J39" s="376">
        <f t="shared" si="34"/>
        <v>200</v>
      </c>
      <c r="K39" s="389">
        <v>200</v>
      </c>
      <c r="L39" s="389"/>
      <c r="M39" s="376">
        <f t="shared" si="19"/>
        <v>7300</v>
      </c>
      <c r="N39" s="376">
        <f t="shared" si="28"/>
        <v>7300</v>
      </c>
      <c r="O39" s="376">
        <f t="shared" si="20"/>
        <v>0</v>
      </c>
      <c r="P39" s="390"/>
      <c r="Q39" s="388"/>
      <c r="R39" s="389"/>
      <c r="S39" s="389"/>
      <c r="T39" s="389"/>
      <c r="U39" s="389"/>
      <c r="V39" s="389">
        <v>7500</v>
      </c>
      <c r="W39" s="389"/>
      <c r="X39" s="376">
        <f t="shared" si="35"/>
        <v>200</v>
      </c>
      <c r="Y39" s="389">
        <v>200</v>
      </c>
      <c r="Z39" s="389"/>
      <c r="AA39" s="376">
        <f t="shared" si="21"/>
        <v>7300</v>
      </c>
      <c r="AB39" s="376">
        <f t="shared" si="36"/>
        <v>7300</v>
      </c>
      <c r="AC39" s="376">
        <f t="shared" si="22"/>
        <v>0</v>
      </c>
      <c r="AD39" s="376">
        <f t="shared" si="23"/>
        <v>7100</v>
      </c>
      <c r="AE39" s="381">
        <f t="shared" si="33"/>
        <v>7100</v>
      </c>
      <c r="AF39" s="381">
        <f t="shared" si="33"/>
        <v>0</v>
      </c>
      <c r="AG39" s="376">
        <f t="shared" si="25"/>
        <v>0</v>
      </c>
      <c r="AH39" s="389"/>
      <c r="AI39" s="389"/>
      <c r="AJ39" s="376">
        <f t="shared" si="26"/>
        <v>0</v>
      </c>
      <c r="AK39" s="376">
        <f t="shared" si="37"/>
        <v>0</v>
      </c>
      <c r="AL39" s="376">
        <f t="shared" si="37"/>
        <v>0</v>
      </c>
      <c r="AM39" s="376">
        <f t="shared" si="27"/>
        <v>0</v>
      </c>
      <c r="AN39" s="376">
        <f t="shared" si="38"/>
        <v>0</v>
      </c>
      <c r="AO39" s="376">
        <f t="shared" si="39"/>
        <v>0</v>
      </c>
      <c r="AP39" s="382">
        <f t="shared" si="30"/>
        <v>0</v>
      </c>
      <c r="AQ39" s="382">
        <f t="shared" si="30"/>
        <v>0</v>
      </c>
      <c r="AR39" s="382" t="e">
        <f t="shared" si="30"/>
        <v>#DIV/0!</v>
      </c>
      <c r="AS39" s="382" t="e">
        <f t="shared" si="6"/>
        <v>#DIV/0!</v>
      </c>
      <c r="AT39" s="391"/>
      <c r="AW39" s="384"/>
    </row>
    <row r="40" spans="1:49" s="392" customFormat="1" ht="31.2" hidden="1" x14ac:dyDescent="0.3">
      <c r="A40" s="387" t="s">
        <v>80</v>
      </c>
      <c r="B40" s="394" t="s">
        <v>81</v>
      </c>
      <c r="C40" s="389"/>
      <c r="D40" s="389"/>
      <c r="E40" s="389"/>
      <c r="F40" s="389"/>
      <c r="G40" s="389"/>
      <c r="H40" s="389">
        <v>750</v>
      </c>
      <c r="I40" s="389"/>
      <c r="J40" s="376">
        <f t="shared" si="34"/>
        <v>0</v>
      </c>
      <c r="K40" s="389"/>
      <c r="L40" s="389"/>
      <c r="M40" s="376">
        <f t="shared" si="19"/>
        <v>750</v>
      </c>
      <c r="N40" s="376">
        <f t="shared" si="28"/>
        <v>750</v>
      </c>
      <c r="O40" s="376">
        <f t="shared" si="20"/>
        <v>0</v>
      </c>
      <c r="P40" s="390"/>
      <c r="Q40" s="388"/>
      <c r="R40" s="389"/>
      <c r="S40" s="389"/>
      <c r="T40" s="389"/>
      <c r="U40" s="389"/>
      <c r="V40" s="389">
        <v>750</v>
      </c>
      <c r="W40" s="389"/>
      <c r="X40" s="376">
        <f t="shared" si="35"/>
        <v>0</v>
      </c>
      <c r="Y40" s="389"/>
      <c r="Z40" s="389"/>
      <c r="AA40" s="376">
        <f t="shared" si="21"/>
        <v>750</v>
      </c>
      <c r="AB40" s="376">
        <f t="shared" si="36"/>
        <v>750</v>
      </c>
      <c r="AC40" s="376">
        <f t="shared" si="22"/>
        <v>0</v>
      </c>
      <c r="AD40" s="376">
        <f t="shared" si="23"/>
        <v>750</v>
      </c>
      <c r="AE40" s="381">
        <f t="shared" si="33"/>
        <v>750</v>
      </c>
      <c r="AF40" s="381">
        <f t="shared" si="33"/>
        <v>0</v>
      </c>
      <c r="AG40" s="376">
        <f t="shared" si="25"/>
        <v>0</v>
      </c>
      <c r="AH40" s="389"/>
      <c r="AI40" s="389"/>
      <c r="AJ40" s="376">
        <f t="shared" si="26"/>
        <v>0</v>
      </c>
      <c r="AK40" s="376">
        <f t="shared" si="37"/>
        <v>0</v>
      </c>
      <c r="AL40" s="376">
        <f t="shared" si="37"/>
        <v>0</v>
      </c>
      <c r="AM40" s="376">
        <f t="shared" si="27"/>
        <v>0</v>
      </c>
      <c r="AN40" s="376">
        <f t="shared" si="38"/>
        <v>0</v>
      </c>
      <c r="AO40" s="376">
        <f t="shared" si="39"/>
        <v>0</v>
      </c>
      <c r="AP40" s="382">
        <f t="shared" si="30"/>
        <v>0</v>
      </c>
      <c r="AQ40" s="382">
        <f t="shared" si="30"/>
        <v>0</v>
      </c>
      <c r="AR40" s="382" t="e">
        <f t="shared" si="30"/>
        <v>#DIV/0!</v>
      </c>
      <c r="AS40" s="382" t="e">
        <f t="shared" si="6"/>
        <v>#DIV/0!</v>
      </c>
      <c r="AT40" s="391"/>
      <c r="AW40" s="384"/>
    </row>
    <row r="41" spans="1:49" s="392" customFormat="1" ht="46.8" hidden="1" x14ac:dyDescent="0.3">
      <c r="A41" s="387" t="s">
        <v>82</v>
      </c>
      <c r="B41" s="394" t="s">
        <v>83</v>
      </c>
      <c r="C41" s="389"/>
      <c r="D41" s="389"/>
      <c r="E41" s="389"/>
      <c r="F41" s="389"/>
      <c r="G41" s="389"/>
      <c r="H41" s="389">
        <f>3500+17000</f>
        <v>20500</v>
      </c>
      <c r="I41" s="389"/>
      <c r="J41" s="376">
        <f t="shared" si="34"/>
        <v>300</v>
      </c>
      <c r="K41" s="389">
        <v>300</v>
      </c>
      <c r="L41" s="389"/>
      <c r="M41" s="376">
        <f t="shared" si="19"/>
        <v>20200</v>
      </c>
      <c r="N41" s="376">
        <f t="shared" si="28"/>
        <v>20200</v>
      </c>
      <c r="O41" s="376">
        <f t="shared" si="20"/>
        <v>0</v>
      </c>
      <c r="P41" s="390"/>
      <c r="Q41" s="388"/>
      <c r="R41" s="389"/>
      <c r="S41" s="389"/>
      <c r="T41" s="389"/>
      <c r="U41" s="389"/>
      <c r="V41" s="389">
        <f>3500+17000</f>
        <v>20500</v>
      </c>
      <c r="W41" s="389"/>
      <c r="X41" s="376">
        <f t="shared" si="35"/>
        <v>300</v>
      </c>
      <c r="Y41" s="389">
        <v>300</v>
      </c>
      <c r="Z41" s="389"/>
      <c r="AA41" s="376">
        <f t="shared" si="21"/>
        <v>20200</v>
      </c>
      <c r="AB41" s="376">
        <f t="shared" si="36"/>
        <v>20200</v>
      </c>
      <c r="AC41" s="376">
        <f t="shared" si="22"/>
        <v>0</v>
      </c>
      <c r="AD41" s="376">
        <f t="shared" si="23"/>
        <v>19900</v>
      </c>
      <c r="AE41" s="381">
        <f t="shared" si="33"/>
        <v>19900</v>
      </c>
      <c r="AF41" s="381">
        <f t="shared" si="33"/>
        <v>0</v>
      </c>
      <c r="AG41" s="376">
        <f t="shared" si="25"/>
        <v>0</v>
      </c>
      <c r="AH41" s="389"/>
      <c r="AI41" s="389"/>
      <c r="AJ41" s="376">
        <f t="shared" si="26"/>
        <v>0</v>
      </c>
      <c r="AK41" s="376">
        <f t="shared" si="37"/>
        <v>0</v>
      </c>
      <c r="AL41" s="376">
        <f t="shared" si="37"/>
        <v>0</v>
      </c>
      <c r="AM41" s="376">
        <f t="shared" si="27"/>
        <v>0</v>
      </c>
      <c r="AN41" s="376">
        <f t="shared" si="38"/>
        <v>0</v>
      </c>
      <c r="AO41" s="376">
        <f t="shared" si="39"/>
        <v>0</v>
      </c>
      <c r="AP41" s="382">
        <f t="shared" si="30"/>
        <v>0</v>
      </c>
      <c r="AQ41" s="382">
        <f t="shared" si="30"/>
        <v>0</v>
      </c>
      <c r="AR41" s="382" t="e">
        <f t="shared" si="30"/>
        <v>#DIV/0!</v>
      </c>
      <c r="AS41" s="382" t="e">
        <f t="shared" si="6"/>
        <v>#DIV/0!</v>
      </c>
      <c r="AT41" s="391"/>
      <c r="AW41" s="384"/>
    </row>
    <row r="42" spans="1:49" s="392" customFormat="1" ht="31.2" hidden="1" x14ac:dyDescent="0.3">
      <c r="A42" s="387" t="s">
        <v>84</v>
      </c>
      <c r="B42" s="394" t="s">
        <v>85</v>
      </c>
      <c r="C42" s="389"/>
      <c r="D42" s="389"/>
      <c r="E42" s="389"/>
      <c r="F42" s="389"/>
      <c r="G42" s="389"/>
      <c r="H42" s="389">
        <v>1621</v>
      </c>
      <c r="I42" s="389"/>
      <c r="J42" s="376">
        <f t="shared" si="34"/>
        <v>20</v>
      </c>
      <c r="K42" s="389">
        <v>20</v>
      </c>
      <c r="L42" s="389"/>
      <c r="M42" s="376">
        <f t="shared" si="19"/>
        <v>1601</v>
      </c>
      <c r="N42" s="376">
        <f t="shared" si="28"/>
        <v>1601</v>
      </c>
      <c r="O42" s="376">
        <f t="shared" si="20"/>
        <v>0</v>
      </c>
      <c r="P42" s="390"/>
      <c r="Q42" s="388"/>
      <c r="R42" s="389"/>
      <c r="S42" s="389"/>
      <c r="T42" s="389"/>
      <c r="U42" s="389"/>
      <c r="V42" s="389">
        <v>1621</v>
      </c>
      <c r="W42" s="389"/>
      <c r="X42" s="376">
        <f t="shared" si="35"/>
        <v>20</v>
      </c>
      <c r="Y42" s="389">
        <v>20</v>
      </c>
      <c r="Z42" s="389"/>
      <c r="AA42" s="376">
        <f t="shared" si="21"/>
        <v>1601</v>
      </c>
      <c r="AB42" s="376">
        <f t="shared" si="36"/>
        <v>1601</v>
      </c>
      <c r="AC42" s="376">
        <f t="shared" si="22"/>
        <v>0</v>
      </c>
      <c r="AD42" s="376">
        <f t="shared" si="23"/>
        <v>1581</v>
      </c>
      <c r="AE42" s="381">
        <f t="shared" si="33"/>
        <v>1581</v>
      </c>
      <c r="AF42" s="381">
        <f t="shared" si="33"/>
        <v>0</v>
      </c>
      <c r="AG42" s="376">
        <f t="shared" si="25"/>
        <v>0</v>
      </c>
      <c r="AH42" s="389"/>
      <c r="AI42" s="389"/>
      <c r="AJ42" s="376">
        <f t="shared" si="26"/>
        <v>0</v>
      </c>
      <c r="AK42" s="376">
        <f t="shared" si="37"/>
        <v>0</v>
      </c>
      <c r="AL42" s="376">
        <f t="shared" si="37"/>
        <v>0</v>
      </c>
      <c r="AM42" s="376">
        <f t="shared" si="27"/>
        <v>0</v>
      </c>
      <c r="AN42" s="376">
        <f t="shared" si="38"/>
        <v>0</v>
      </c>
      <c r="AO42" s="376">
        <f t="shared" si="39"/>
        <v>0</v>
      </c>
      <c r="AP42" s="382">
        <f t="shared" si="30"/>
        <v>0</v>
      </c>
      <c r="AQ42" s="382">
        <f t="shared" si="30"/>
        <v>0</v>
      </c>
      <c r="AR42" s="382" t="e">
        <f t="shared" si="30"/>
        <v>#DIV/0!</v>
      </c>
      <c r="AS42" s="382" t="e">
        <f t="shared" si="6"/>
        <v>#DIV/0!</v>
      </c>
      <c r="AT42" s="391"/>
      <c r="AW42" s="384"/>
    </row>
    <row r="43" spans="1:49" s="392" customFormat="1" ht="31.2" hidden="1" x14ac:dyDescent="0.3">
      <c r="A43" s="387" t="s">
        <v>86</v>
      </c>
      <c r="B43" s="394" t="s">
        <v>87</v>
      </c>
      <c r="C43" s="389"/>
      <c r="D43" s="389"/>
      <c r="E43" s="389"/>
      <c r="F43" s="389"/>
      <c r="G43" s="389"/>
      <c r="H43" s="389">
        <v>733</v>
      </c>
      <c r="I43" s="389"/>
      <c r="J43" s="376">
        <f t="shared" si="34"/>
        <v>0</v>
      </c>
      <c r="K43" s="389"/>
      <c r="L43" s="389"/>
      <c r="M43" s="376">
        <f t="shared" si="19"/>
        <v>733</v>
      </c>
      <c r="N43" s="376">
        <f t="shared" si="28"/>
        <v>733</v>
      </c>
      <c r="O43" s="376">
        <f t="shared" si="20"/>
        <v>0</v>
      </c>
      <c r="P43" s="390"/>
      <c r="Q43" s="388"/>
      <c r="R43" s="389"/>
      <c r="S43" s="389"/>
      <c r="T43" s="389"/>
      <c r="U43" s="389"/>
      <c r="V43" s="389">
        <v>733</v>
      </c>
      <c r="W43" s="389"/>
      <c r="X43" s="376">
        <f t="shared" si="35"/>
        <v>0</v>
      </c>
      <c r="Y43" s="389"/>
      <c r="Z43" s="389"/>
      <c r="AA43" s="376">
        <f t="shared" si="21"/>
        <v>733</v>
      </c>
      <c r="AB43" s="376">
        <f t="shared" si="36"/>
        <v>733</v>
      </c>
      <c r="AC43" s="376">
        <f t="shared" si="22"/>
        <v>0</v>
      </c>
      <c r="AD43" s="376">
        <f t="shared" si="23"/>
        <v>733</v>
      </c>
      <c r="AE43" s="381">
        <f t="shared" si="33"/>
        <v>733</v>
      </c>
      <c r="AF43" s="381">
        <f t="shared" si="33"/>
        <v>0</v>
      </c>
      <c r="AG43" s="376">
        <f t="shared" si="25"/>
        <v>0</v>
      </c>
      <c r="AH43" s="389"/>
      <c r="AI43" s="389"/>
      <c r="AJ43" s="376">
        <f t="shared" si="26"/>
        <v>0</v>
      </c>
      <c r="AK43" s="376">
        <f t="shared" si="37"/>
        <v>0</v>
      </c>
      <c r="AL43" s="376">
        <f t="shared" si="37"/>
        <v>0</v>
      </c>
      <c r="AM43" s="376">
        <f t="shared" si="27"/>
        <v>0</v>
      </c>
      <c r="AN43" s="376">
        <f t="shared" si="38"/>
        <v>0</v>
      </c>
      <c r="AO43" s="376">
        <f t="shared" si="39"/>
        <v>0</v>
      </c>
      <c r="AP43" s="382">
        <f t="shared" si="30"/>
        <v>0</v>
      </c>
      <c r="AQ43" s="382">
        <f t="shared" si="30"/>
        <v>0</v>
      </c>
      <c r="AR43" s="382" t="e">
        <f t="shared" si="30"/>
        <v>#DIV/0!</v>
      </c>
      <c r="AS43" s="382" t="e">
        <f t="shared" si="6"/>
        <v>#DIV/0!</v>
      </c>
      <c r="AT43" s="391"/>
      <c r="AW43" s="384"/>
    </row>
    <row r="44" spans="1:49" s="392" customFormat="1" hidden="1" x14ac:dyDescent="0.3">
      <c r="A44" s="387" t="s">
        <v>88</v>
      </c>
      <c r="B44" s="393" t="s">
        <v>89</v>
      </c>
      <c r="C44" s="389"/>
      <c r="D44" s="389"/>
      <c r="E44" s="389"/>
      <c r="F44" s="389"/>
      <c r="G44" s="389"/>
      <c r="H44" s="389">
        <v>9081</v>
      </c>
      <c r="I44" s="389"/>
      <c r="J44" s="376">
        <f t="shared" si="34"/>
        <v>0</v>
      </c>
      <c r="K44" s="389"/>
      <c r="L44" s="389"/>
      <c r="M44" s="376">
        <f t="shared" si="19"/>
        <v>9081</v>
      </c>
      <c r="N44" s="376">
        <f t="shared" si="28"/>
        <v>9081</v>
      </c>
      <c r="O44" s="376">
        <f t="shared" si="20"/>
        <v>0</v>
      </c>
      <c r="P44" s="390"/>
      <c r="Q44" s="388"/>
      <c r="R44" s="389"/>
      <c r="S44" s="389"/>
      <c r="T44" s="389"/>
      <c r="U44" s="389"/>
      <c r="V44" s="389">
        <v>9081</v>
      </c>
      <c r="W44" s="389"/>
      <c r="X44" s="376">
        <f t="shared" si="35"/>
        <v>0</v>
      </c>
      <c r="Y44" s="389"/>
      <c r="Z44" s="389"/>
      <c r="AA44" s="376">
        <f t="shared" si="21"/>
        <v>9081</v>
      </c>
      <c r="AB44" s="376">
        <f t="shared" si="36"/>
        <v>9081</v>
      </c>
      <c r="AC44" s="376">
        <f t="shared" si="22"/>
        <v>0</v>
      </c>
      <c r="AD44" s="376">
        <f t="shared" si="23"/>
        <v>9081</v>
      </c>
      <c r="AE44" s="381">
        <f t="shared" si="33"/>
        <v>9081</v>
      </c>
      <c r="AF44" s="381">
        <f t="shared" si="33"/>
        <v>0</v>
      </c>
      <c r="AG44" s="376">
        <f t="shared" si="25"/>
        <v>0</v>
      </c>
      <c r="AH44" s="389"/>
      <c r="AI44" s="389"/>
      <c r="AJ44" s="376">
        <f t="shared" si="26"/>
        <v>0</v>
      </c>
      <c r="AK44" s="376">
        <f t="shared" si="37"/>
        <v>0</v>
      </c>
      <c r="AL44" s="376">
        <f t="shared" si="37"/>
        <v>0</v>
      </c>
      <c r="AM44" s="376">
        <f t="shared" si="27"/>
        <v>0</v>
      </c>
      <c r="AN44" s="376">
        <f t="shared" si="38"/>
        <v>0</v>
      </c>
      <c r="AO44" s="376">
        <f t="shared" si="39"/>
        <v>0</v>
      </c>
      <c r="AP44" s="382">
        <f t="shared" si="30"/>
        <v>0</v>
      </c>
      <c r="AQ44" s="382">
        <f t="shared" si="30"/>
        <v>0</v>
      </c>
      <c r="AR44" s="382" t="e">
        <f t="shared" si="30"/>
        <v>#DIV/0!</v>
      </c>
      <c r="AS44" s="382" t="e">
        <f t="shared" si="6"/>
        <v>#DIV/0!</v>
      </c>
      <c r="AT44" s="391"/>
      <c r="AW44" s="384"/>
    </row>
    <row r="45" spans="1:49" s="108" customFormat="1" ht="34.200000000000003" customHeight="1" x14ac:dyDescent="0.3">
      <c r="A45" s="37">
        <v>11</v>
      </c>
      <c r="B45" s="375" t="s">
        <v>90</v>
      </c>
      <c r="C45" s="376"/>
      <c r="D45" s="376"/>
      <c r="E45" s="376"/>
      <c r="F45" s="376"/>
      <c r="G45" s="376">
        <f t="shared" si="31"/>
        <v>7969</v>
      </c>
      <c r="H45" s="376">
        <f>8165-78-118</f>
        <v>7969</v>
      </c>
      <c r="I45" s="376"/>
      <c r="J45" s="376">
        <f t="shared" si="34"/>
        <v>0</v>
      </c>
      <c r="K45" s="376"/>
      <c r="L45" s="376"/>
      <c r="M45" s="376">
        <f t="shared" si="19"/>
        <v>7969</v>
      </c>
      <c r="N45" s="376">
        <f t="shared" si="28"/>
        <v>7969</v>
      </c>
      <c r="O45" s="376">
        <f t="shared" si="20"/>
        <v>0</v>
      </c>
      <c r="P45" s="377"/>
      <c r="Q45" s="386"/>
      <c r="R45" s="376"/>
      <c r="S45" s="376"/>
      <c r="T45" s="376"/>
      <c r="U45" s="376">
        <f t="shared" ref="U45:U49" si="40">+V45+W45</f>
        <v>7969</v>
      </c>
      <c r="V45" s="376">
        <f>8165-78-118</f>
        <v>7969</v>
      </c>
      <c r="W45" s="376"/>
      <c r="X45" s="376">
        <f t="shared" si="35"/>
        <v>108</v>
      </c>
      <c r="Y45" s="376">
        <v>108</v>
      </c>
      <c r="Z45" s="376"/>
      <c r="AA45" s="376">
        <f t="shared" si="21"/>
        <v>24586</v>
      </c>
      <c r="AB45" s="376">
        <f>-1300+15876+10010</f>
        <v>24586</v>
      </c>
      <c r="AC45" s="376">
        <f t="shared" si="22"/>
        <v>0</v>
      </c>
      <c r="AD45" s="376">
        <f t="shared" si="23"/>
        <v>24478</v>
      </c>
      <c r="AE45" s="381">
        <f t="shared" si="33"/>
        <v>24478</v>
      </c>
      <c r="AF45" s="381">
        <f t="shared" si="33"/>
        <v>0</v>
      </c>
      <c r="AG45" s="376">
        <f t="shared" si="25"/>
        <v>0</v>
      </c>
      <c r="AH45" s="376"/>
      <c r="AI45" s="376"/>
      <c r="AJ45" s="376">
        <f t="shared" si="26"/>
        <v>0</v>
      </c>
      <c r="AK45" s="376">
        <f t="shared" ref="AK45:AL49" si="41">AH45</f>
        <v>0</v>
      </c>
      <c r="AL45" s="376">
        <f t="shared" si="41"/>
        <v>0</v>
      </c>
      <c r="AM45" s="376">
        <f t="shared" si="27"/>
        <v>0</v>
      </c>
      <c r="AN45" s="376">
        <f t="shared" ref="AN45" si="42">AK45</f>
        <v>0</v>
      </c>
      <c r="AO45" s="376">
        <f t="shared" ref="AO45" si="43">AL45</f>
        <v>0</v>
      </c>
      <c r="AP45" s="382">
        <f t="shared" si="30"/>
        <v>0</v>
      </c>
      <c r="AQ45" s="382">
        <f t="shared" si="30"/>
        <v>0</v>
      </c>
      <c r="AR45" s="382"/>
      <c r="AS45" s="382"/>
      <c r="AT45" s="383">
        <f>'[7]Nhập data'!E20</f>
        <v>0</v>
      </c>
      <c r="AV45" s="392"/>
      <c r="AW45" s="384"/>
    </row>
    <row r="46" spans="1:49" s="108" customFormat="1" ht="34.200000000000003" customHeight="1" x14ac:dyDescent="0.3">
      <c r="A46" s="37">
        <v>12</v>
      </c>
      <c r="B46" s="375" t="s">
        <v>203</v>
      </c>
      <c r="C46" s="376">
        <v>14278</v>
      </c>
      <c r="D46" s="376"/>
      <c r="E46" s="376"/>
      <c r="F46" s="376"/>
      <c r="G46" s="376">
        <f t="shared" si="31"/>
        <v>7411.6959999999999</v>
      </c>
      <c r="H46" s="376">
        <v>4382</v>
      </c>
      <c r="I46" s="376">
        <f>+'[9]Chi xã (NQ mới)'!DB68</f>
        <v>3029.6959999999999</v>
      </c>
      <c r="J46" s="376">
        <f t="shared" si="34"/>
        <v>0</v>
      </c>
      <c r="K46" s="376"/>
      <c r="L46" s="376"/>
      <c r="M46" s="376">
        <f t="shared" si="19"/>
        <v>7411.6959999999999</v>
      </c>
      <c r="N46" s="376">
        <f t="shared" si="28"/>
        <v>4382</v>
      </c>
      <c r="O46" s="376">
        <f t="shared" si="20"/>
        <v>3029.6959999999999</v>
      </c>
      <c r="P46" s="377">
        <f t="shared" si="18"/>
        <v>51.90990334780782</v>
      </c>
      <c r="Q46" s="386"/>
      <c r="R46" s="376"/>
      <c r="S46" s="376"/>
      <c r="T46" s="376"/>
      <c r="U46" s="376" t="e">
        <f t="shared" si="40"/>
        <v>#REF!</v>
      </c>
      <c r="V46" s="376">
        <v>4382</v>
      </c>
      <c r="W46" s="376" t="e">
        <f>+'[9]Chi xã (NQ mới)'!DP68</f>
        <v>#REF!</v>
      </c>
      <c r="X46" s="376">
        <f t="shared" si="35"/>
        <v>1206</v>
      </c>
      <c r="Y46" s="376">
        <v>1175</v>
      </c>
      <c r="Z46" s="376">
        <v>31</v>
      </c>
      <c r="AA46" s="376">
        <f t="shared" si="21"/>
        <v>12737</v>
      </c>
      <c r="AB46" s="376">
        <v>11950</v>
      </c>
      <c r="AC46" s="376">
        <v>787</v>
      </c>
      <c r="AD46" s="376">
        <f t="shared" si="23"/>
        <v>11531</v>
      </c>
      <c r="AE46" s="381">
        <f t="shared" si="33"/>
        <v>10775</v>
      </c>
      <c r="AF46" s="381">
        <f t="shared" si="33"/>
        <v>756</v>
      </c>
      <c r="AG46" s="376">
        <f t="shared" si="25"/>
        <v>4358.2040200000001</v>
      </c>
      <c r="AH46" s="376">
        <f>'[7]Nhập data'!C11</f>
        <v>4054.3920199999998</v>
      </c>
      <c r="AI46" s="376">
        <f>'[7]Nhập data'!D11</f>
        <v>303.81200000000001</v>
      </c>
      <c r="AJ46" s="376">
        <f t="shared" si="26"/>
        <v>9698</v>
      </c>
      <c r="AK46" s="400">
        <v>9168</v>
      </c>
      <c r="AL46" s="400">
        <v>530</v>
      </c>
      <c r="AM46" s="376">
        <f t="shared" si="27"/>
        <v>9698</v>
      </c>
      <c r="AN46" s="376">
        <v>9168</v>
      </c>
      <c r="AO46" s="376">
        <v>530</v>
      </c>
      <c r="AP46" s="382">
        <f t="shared" si="30"/>
        <v>0.84103720405862459</v>
      </c>
      <c r="AQ46" s="382">
        <f t="shared" si="30"/>
        <v>0.85085846867749415</v>
      </c>
      <c r="AR46" s="382">
        <f t="shared" si="30"/>
        <v>0.70105820105820105</v>
      </c>
      <c r="AS46" s="382">
        <f t="shared" si="6"/>
        <v>2.4616431950705602</v>
      </c>
      <c r="AT46" s="383">
        <f>'[7]Nhập data'!E11</f>
        <v>3939.6448759999998</v>
      </c>
      <c r="AV46" s="392"/>
      <c r="AW46" s="384"/>
    </row>
    <row r="47" spans="1:49" s="108" customFormat="1" ht="34.200000000000003" customHeight="1" x14ac:dyDescent="0.3">
      <c r="A47" s="37">
        <v>13</v>
      </c>
      <c r="B47" s="375" t="s">
        <v>91</v>
      </c>
      <c r="C47" s="376">
        <v>3039</v>
      </c>
      <c r="D47" s="376"/>
      <c r="E47" s="376"/>
      <c r="F47" s="376"/>
      <c r="G47" s="376">
        <f t="shared" si="31"/>
        <v>2922.9328261149999</v>
      </c>
      <c r="H47" s="376">
        <v>2408</v>
      </c>
      <c r="I47" s="376">
        <f>+'[9]Chi xã (NQ mới)'!DB76</f>
        <v>514.93282611500001</v>
      </c>
      <c r="J47" s="376">
        <f t="shared" si="34"/>
        <v>0</v>
      </c>
      <c r="K47" s="376"/>
      <c r="L47" s="376"/>
      <c r="M47" s="376">
        <f t="shared" si="19"/>
        <v>2922.9328261149999</v>
      </c>
      <c r="N47" s="376">
        <f t="shared" si="28"/>
        <v>2408</v>
      </c>
      <c r="O47" s="376">
        <f t="shared" si="20"/>
        <v>514.93282611500001</v>
      </c>
      <c r="P47" s="377">
        <f t="shared" si="18"/>
        <v>96.180744525008222</v>
      </c>
      <c r="Q47" s="386"/>
      <c r="R47" s="376"/>
      <c r="S47" s="376"/>
      <c r="T47" s="376"/>
      <c r="U47" s="376" t="e">
        <f t="shared" si="40"/>
        <v>#REF!</v>
      </c>
      <c r="V47" s="376">
        <v>2408</v>
      </c>
      <c r="W47" s="376" t="e">
        <f>+'[9]Chi xã (NQ mới)'!DP76</f>
        <v>#REF!</v>
      </c>
      <c r="X47" s="376">
        <f t="shared" si="35"/>
        <v>0</v>
      </c>
      <c r="Y47" s="376"/>
      <c r="Z47" s="376"/>
      <c r="AA47" s="376">
        <f t="shared" si="21"/>
        <v>3057</v>
      </c>
      <c r="AB47" s="376">
        <v>2600</v>
      </c>
      <c r="AC47" s="376">
        <v>457</v>
      </c>
      <c r="AD47" s="376">
        <f t="shared" si="23"/>
        <v>3057</v>
      </c>
      <c r="AE47" s="381">
        <f t="shared" si="33"/>
        <v>2600</v>
      </c>
      <c r="AF47" s="381">
        <f t="shared" si="33"/>
        <v>457</v>
      </c>
      <c r="AG47" s="376">
        <f t="shared" si="25"/>
        <v>1603.7660000000001</v>
      </c>
      <c r="AH47" s="376">
        <f>'[7]Nhập data'!C15</f>
        <v>1541.77</v>
      </c>
      <c r="AI47" s="376">
        <f>'[7]Nhập data'!D15</f>
        <v>61.996000000000002</v>
      </c>
      <c r="AJ47" s="376">
        <f t="shared" si="26"/>
        <v>2016</v>
      </c>
      <c r="AK47" s="400">
        <f>-AK48+4794+100</f>
        <v>1894</v>
      </c>
      <c r="AL47" s="400">
        <v>122</v>
      </c>
      <c r="AM47" s="376">
        <f t="shared" si="27"/>
        <v>2016</v>
      </c>
      <c r="AN47" s="376">
        <f>-AN48+4794+100</f>
        <v>1894</v>
      </c>
      <c r="AO47" s="376">
        <v>122</v>
      </c>
      <c r="AP47" s="382">
        <f t="shared" si="30"/>
        <v>0.65947006869479885</v>
      </c>
      <c r="AQ47" s="382">
        <f t="shared" si="30"/>
        <v>0.72846153846153849</v>
      </c>
      <c r="AR47" s="382">
        <f t="shared" si="30"/>
        <v>0.26695842450765866</v>
      </c>
      <c r="AS47" s="382">
        <f t="shared" si="6"/>
        <v>1.9235631717801069</v>
      </c>
      <c r="AT47" s="383">
        <f>'[7]Nhập data'!E15</f>
        <v>1048.0550000000001</v>
      </c>
      <c r="AW47" s="384"/>
    </row>
    <row r="48" spans="1:49" s="108" customFormat="1" ht="34.200000000000003" customHeight="1" x14ac:dyDescent="0.3">
      <c r="A48" s="37">
        <v>14</v>
      </c>
      <c r="B48" s="395" t="s">
        <v>197</v>
      </c>
      <c r="C48" s="376">
        <v>1200</v>
      </c>
      <c r="D48" s="376"/>
      <c r="E48" s="376"/>
      <c r="F48" s="376"/>
      <c r="G48" s="376">
        <f t="shared" si="31"/>
        <v>1500</v>
      </c>
      <c r="H48" s="376">
        <f>1200+300</f>
        <v>1500</v>
      </c>
      <c r="I48" s="376"/>
      <c r="J48" s="376">
        <f t="shared" si="34"/>
        <v>0</v>
      </c>
      <c r="K48" s="376"/>
      <c r="L48" s="376"/>
      <c r="M48" s="376">
        <f t="shared" si="19"/>
        <v>1500</v>
      </c>
      <c r="N48" s="376">
        <f t="shared" si="28"/>
        <v>1500</v>
      </c>
      <c r="O48" s="376">
        <f t="shared" si="20"/>
        <v>0</v>
      </c>
      <c r="P48" s="377">
        <f t="shared" si="18"/>
        <v>125</v>
      </c>
      <c r="Q48" s="386"/>
      <c r="R48" s="376"/>
      <c r="S48" s="376"/>
      <c r="T48" s="376"/>
      <c r="U48" s="376">
        <f t="shared" si="40"/>
        <v>1500</v>
      </c>
      <c r="V48" s="376">
        <f>1200+300</f>
        <v>1500</v>
      </c>
      <c r="W48" s="376"/>
      <c r="X48" s="376">
        <f t="shared" si="35"/>
        <v>0</v>
      </c>
      <c r="Y48" s="376"/>
      <c r="Z48" s="376"/>
      <c r="AA48" s="376">
        <f t="shared" si="21"/>
        <v>3000</v>
      </c>
      <c r="AB48" s="376">
        <v>3000</v>
      </c>
      <c r="AC48" s="376">
        <f t="shared" si="22"/>
        <v>0</v>
      </c>
      <c r="AD48" s="376">
        <f t="shared" si="23"/>
        <v>3000</v>
      </c>
      <c r="AE48" s="381">
        <f t="shared" si="33"/>
        <v>3000</v>
      </c>
      <c r="AF48" s="381">
        <f t="shared" si="33"/>
        <v>0</v>
      </c>
      <c r="AG48" s="376">
        <f t="shared" si="25"/>
        <v>3000</v>
      </c>
      <c r="AH48" s="376">
        <f>'[7]Nhập data'!C21</f>
        <v>3000</v>
      </c>
      <c r="AI48" s="376">
        <f>'[7]Nhập data'!D21</f>
        <v>0</v>
      </c>
      <c r="AJ48" s="376">
        <f t="shared" si="26"/>
        <v>3000</v>
      </c>
      <c r="AK48" s="376">
        <f>AH48</f>
        <v>3000</v>
      </c>
      <c r="AL48" s="376">
        <f t="shared" si="41"/>
        <v>0</v>
      </c>
      <c r="AM48" s="376">
        <f t="shared" si="27"/>
        <v>3000</v>
      </c>
      <c r="AN48" s="376">
        <f>AK48</f>
        <v>3000</v>
      </c>
      <c r="AO48" s="376">
        <f t="shared" ref="AO48:AO49" si="44">AL48</f>
        <v>0</v>
      </c>
      <c r="AP48" s="382">
        <f t="shared" si="30"/>
        <v>1</v>
      </c>
      <c r="AQ48" s="382">
        <f t="shared" si="30"/>
        <v>1</v>
      </c>
      <c r="AR48" s="382"/>
      <c r="AS48" s="382">
        <f t="shared" si="6"/>
        <v>2</v>
      </c>
      <c r="AT48" s="383">
        <f>'[7]Nhập data'!F21</f>
        <v>1500</v>
      </c>
      <c r="AW48" s="384"/>
    </row>
    <row r="49" spans="1:49" s="372" customFormat="1" ht="28.2" customHeight="1" x14ac:dyDescent="0.3">
      <c r="A49" s="367" t="s">
        <v>92</v>
      </c>
      <c r="B49" s="373" t="s">
        <v>93</v>
      </c>
      <c r="C49" s="368">
        <v>50268</v>
      </c>
      <c r="D49" s="368">
        <f>+E49+F49</f>
        <v>36324</v>
      </c>
      <c r="E49" s="368">
        <v>30929</v>
      </c>
      <c r="F49" s="368">
        <v>5395</v>
      </c>
      <c r="G49" s="368">
        <f t="shared" si="31"/>
        <v>36423.074902455752</v>
      </c>
      <c r="H49" s="368">
        <f>+'[8]Tổng chi'!$H$41</f>
        <v>30961</v>
      </c>
      <c r="I49" s="368">
        <f>+'[9]Chi xã (NQ mới)'!DB77</f>
        <v>5462.0749024557499</v>
      </c>
      <c r="J49" s="376">
        <f t="shared" si="34"/>
        <v>0</v>
      </c>
      <c r="K49" s="368"/>
      <c r="L49" s="368"/>
      <c r="M49" s="368">
        <f t="shared" si="19"/>
        <v>36423.074902455752</v>
      </c>
      <c r="N49" s="368">
        <f>+H49</f>
        <v>30961</v>
      </c>
      <c r="O49" s="396">
        <f>+I49</f>
        <v>5462.0749024557499</v>
      </c>
      <c r="P49" s="369">
        <f t="shared" si="18"/>
        <v>72.45777612488213</v>
      </c>
      <c r="Q49" s="369">
        <f>+G49/D49*100</f>
        <v>100.2727532828316</v>
      </c>
      <c r="R49" s="368">
        <f>+S49+T49</f>
        <v>27741</v>
      </c>
      <c r="S49" s="368">
        <v>23716</v>
      </c>
      <c r="T49" s="368">
        <v>4025</v>
      </c>
      <c r="U49" s="368" t="e">
        <f t="shared" si="40"/>
        <v>#REF!</v>
      </c>
      <c r="V49" s="368">
        <f>+'[8]Tổng chi'!$H$41</f>
        <v>30961</v>
      </c>
      <c r="W49" s="368" t="e">
        <f>+'[9]Chi xã (NQ mới)'!DP77</f>
        <v>#REF!</v>
      </c>
      <c r="X49" s="376">
        <f t="shared" si="35"/>
        <v>0</v>
      </c>
      <c r="Y49" s="368"/>
      <c r="Z49" s="368"/>
      <c r="AA49" s="368">
        <f t="shared" si="21"/>
        <v>27741</v>
      </c>
      <c r="AB49" s="368">
        <v>23716</v>
      </c>
      <c r="AC49" s="396">
        <v>4025</v>
      </c>
      <c r="AD49" s="368">
        <f t="shared" si="23"/>
        <v>27741</v>
      </c>
      <c r="AE49" s="397">
        <f t="shared" si="33"/>
        <v>23716</v>
      </c>
      <c r="AF49" s="397">
        <f t="shared" si="33"/>
        <v>4025</v>
      </c>
      <c r="AG49" s="368">
        <f t="shared" si="25"/>
        <v>0</v>
      </c>
      <c r="AH49" s="368"/>
      <c r="AI49" s="368"/>
      <c r="AJ49" s="396">
        <f t="shared" si="26"/>
        <v>1431</v>
      </c>
      <c r="AK49" s="396">
        <v>1431</v>
      </c>
      <c r="AL49" s="396">
        <f t="shared" si="41"/>
        <v>0</v>
      </c>
      <c r="AM49" s="396">
        <f t="shared" si="27"/>
        <v>1431</v>
      </c>
      <c r="AN49" s="396">
        <v>1431</v>
      </c>
      <c r="AO49" s="396">
        <f t="shared" si="44"/>
        <v>0</v>
      </c>
      <c r="AP49" s="370">
        <f t="shared" si="30"/>
        <v>5.158429761003569E-2</v>
      </c>
      <c r="AQ49" s="370">
        <f t="shared" si="30"/>
        <v>6.0339011637712936E-2</v>
      </c>
      <c r="AR49" s="370">
        <f t="shared" si="30"/>
        <v>0</v>
      </c>
      <c r="AS49" s="370"/>
      <c r="AT49" s="374">
        <f>+AU49+AV51</f>
        <v>0</v>
      </c>
      <c r="AV49" s="108"/>
      <c r="AW49" s="384"/>
    </row>
    <row r="50" spans="1:49" s="372" customFormat="1" ht="28.2" customHeight="1" x14ac:dyDescent="0.3">
      <c r="A50" s="367" t="s">
        <v>94</v>
      </c>
      <c r="B50" s="398" t="s">
        <v>95</v>
      </c>
      <c r="C50" s="368">
        <f>+C51+C52</f>
        <v>102739</v>
      </c>
      <c r="D50" s="368"/>
      <c r="E50" s="368"/>
      <c r="F50" s="368"/>
      <c r="G50" s="368">
        <f>+G51+G52</f>
        <v>61058.368093125697</v>
      </c>
      <c r="H50" s="368">
        <f>+H51+H52</f>
        <v>61058.368093125697</v>
      </c>
      <c r="I50" s="368"/>
      <c r="J50" s="376">
        <f t="shared" si="34"/>
        <v>0</v>
      </c>
      <c r="K50" s="368"/>
      <c r="L50" s="368"/>
      <c r="M50" s="368">
        <f t="shared" si="19"/>
        <v>61058.368093125697</v>
      </c>
      <c r="N50" s="368">
        <f>+H50-K50</f>
        <v>61058.368093125697</v>
      </c>
      <c r="O50" s="376">
        <f t="shared" si="20"/>
        <v>0</v>
      </c>
      <c r="P50" s="373"/>
      <c r="Q50" s="369"/>
      <c r="R50" s="368"/>
      <c r="S50" s="368"/>
      <c r="T50" s="368"/>
      <c r="U50" s="368" t="e">
        <f>+U51+U52</f>
        <v>#REF!</v>
      </c>
      <c r="V50" s="368" t="e">
        <f>+V51+V52</f>
        <v>#REF!</v>
      </c>
      <c r="W50" s="368"/>
      <c r="X50" s="376">
        <f t="shared" si="35"/>
        <v>0</v>
      </c>
      <c r="Y50" s="368"/>
      <c r="Z50" s="368"/>
      <c r="AA50" s="368">
        <f>+AA51</f>
        <v>0</v>
      </c>
      <c r="AB50" s="368">
        <f t="shared" ref="AB50:AC50" si="45">+AB51</f>
        <v>0</v>
      </c>
      <c r="AC50" s="368">
        <f t="shared" si="45"/>
        <v>0</v>
      </c>
      <c r="AD50" s="368">
        <f>+AD51+AD52+AD53</f>
        <v>0</v>
      </c>
      <c r="AE50" s="381">
        <f t="shared" si="33"/>
        <v>0</v>
      </c>
      <c r="AF50" s="381">
        <f t="shared" si="33"/>
        <v>0</v>
      </c>
      <c r="AG50" s="368">
        <f>+AG51+AG52+AG53</f>
        <v>90115.121471999999</v>
      </c>
      <c r="AH50" s="368">
        <f t="shared" ref="AH50:AL50" si="46">+AH51+AH52+AH53</f>
        <v>89601.490149999998</v>
      </c>
      <c r="AI50" s="368">
        <f t="shared" si="46"/>
        <v>513.63132199999995</v>
      </c>
      <c r="AJ50" s="368">
        <f t="shared" si="46"/>
        <v>190298</v>
      </c>
      <c r="AK50" s="368">
        <f t="shared" si="46"/>
        <v>189083</v>
      </c>
      <c r="AL50" s="368">
        <f t="shared" si="46"/>
        <v>1215</v>
      </c>
      <c r="AM50" s="368">
        <f t="shared" ref="AM50:AO50" si="47">+AM51+AM52+AM53</f>
        <v>190298</v>
      </c>
      <c r="AN50" s="368">
        <f t="shared" si="47"/>
        <v>189083</v>
      </c>
      <c r="AO50" s="368">
        <f t="shared" si="47"/>
        <v>1215</v>
      </c>
      <c r="AP50" s="370"/>
      <c r="AQ50" s="370"/>
      <c r="AR50" s="370"/>
      <c r="AS50" s="370">
        <f t="shared" si="6"/>
        <v>2.1311579653770689</v>
      </c>
      <c r="AT50" s="374">
        <f>+AT51+AT52+AT53</f>
        <v>89293.240149999998</v>
      </c>
      <c r="AV50" s="108"/>
      <c r="AW50" s="384"/>
    </row>
    <row r="51" spans="1:49" s="108" customFormat="1" ht="28.2" customHeight="1" x14ac:dyDescent="0.3">
      <c r="A51" s="37">
        <v>1</v>
      </c>
      <c r="B51" s="375" t="s">
        <v>96</v>
      </c>
      <c r="C51" s="376">
        <v>57045</v>
      </c>
      <c r="D51" s="376"/>
      <c r="E51" s="376"/>
      <c r="F51" s="376"/>
      <c r="G51" s="376">
        <f t="shared" si="31"/>
        <v>56448.368093125697</v>
      </c>
      <c r="H51" s="376">
        <f>+'[9]Số BScân đối NSX'!E23</f>
        <v>56448.368093125697</v>
      </c>
      <c r="I51" s="376"/>
      <c r="J51" s="376">
        <f t="shared" si="34"/>
        <v>0</v>
      </c>
      <c r="K51" s="376"/>
      <c r="L51" s="376"/>
      <c r="M51" s="376">
        <f t="shared" si="19"/>
        <v>56448.368093125697</v>
      </c>
      <c r="N51" s="376">
        <f t="shared" si="28"/>
        <v>56448.368093125697</v>
      </c>
      <c r="O51" s="376">
        <f t="shared" si="20"/>
        <v>0</v>
      </c>
      <c r="P51" s="381">
        <f>+G51/C51*100</f>
        <v>98.954103064467873</v>
      </c>
      <c r="Q51" s="381">
        <f>+G51/C51*100</f>
        <v>98.954103064467873</v>
      </c>
      <c r="R51" s="376"/>
      <c r="S51" s="376"/>
      <c r="T51" s="376"/>
      <c r="U51" s="376" t="e">
        <f t="shared" ref="U51:U52" si="48">+V51+W51</f>
        <v>#REF!</v>
      </c>
      <c r="V51" s="376" t="e">
        <f>+'[9]Số BScân đối NSX'!S23</f>
        <v>#REF!</v>
      </c>
      <c r="W51" s="376"/>
      <c r="X51" s="376">
        <f t="shared" si="35"/>
        <v>0</v>
      </c>
      <c r="Y51" s="376"/>
      <c r="Z51" s="376"/>
      <c r="AA51" s="376">
        <f t="shared" ref="AA51:AA52" si="49">+AB51+AC51</f>
        <v>0</v>
      </c>
      <c r="AB51" s="376"/>
      <c r="AC51" s="376"/>
      <c r="AD51" s="376">
        <f>+AE51+AF51</f>
        <v>0</v>
      </c>
      <c r="AE51" s="381">
        <f t="shared" si="33"/>
        <v>0</v>
      </c>
      <c r="AF51" s="381">
        <f t="shared" si="33"/>
        <v>0</v>
      </c>
      <c r="AG51" s="376">
        <f t="shared" ref="AG51:AG54" si="50">+AH51+AI51</f>
        <v>23202.75</v>
      </c>
      <c r="AH51" s="376">
        <f>'[7]Nhập data'!C17</f>
        <v>23202.75</v>
      </c>
      <c r="AI51" s="376">
        <f>'[7]Nhập data'!D17</f>
        <v>0</v>
      </c>
      <c r="AJ51" s="376">
        <f t="shared" si="26"/>
        <v>38241</v>
      </c>
      <c r="AK51" s="400">
        <v>38241</v>
      </c>
      <c r="AL51" s="376">
        <f t="shared" ref="AL51:AL52" si="51">AI51</f>
        <v>0</v>
      </c>
      <c r="AM51" s="376">
        <f t="shared" ref="AM51:AM54" si="52">+AN51+AO51</f>
        <v>38241</v>
      </c>
      <c r="AN51" s="376">
        <v>38241</v>
      </c>
      <c r="AO51" s="376">
        <f t="shared" ref="AO51:AO52" si="53">AL51</f>
        <v>0</v>
      </c>
      <c r="AP51" s="382"/>
      <c r="AQ51" s="382"/>
      <c r="AR51" s="382"/>
      <c r="AS51" s="382">
        <f t="shared" si="6"/>
        <v>1.4441737948224098</v>
      </c>
      <c r="AT51" s="383">
        <f>'[7]Nhập data'!E17</f>
        <v>26479.5</v>
      </c>
      <c r="AV51" s="372"/>
      <c r="AW51" s="384"/>
    </row>
    <row r="52" spans="1:49" s="108" customFormat="1" ht="28.2" customHeight="1" x14ac:dyDescent="0.3">
      <c r="A52" s="37">
        <v>2</v>
      </c>
      <c r="B52" s="375" t="s">
        <v>42</v>
      </c>
      <c r="C52" s="376">
        <v>45694</v>
      </c>
      <c r="D52" s="376"/>
      <c r="E52" s="376"/>
      <c r="F52" s="376"/>
      <c r="G52" s="376">
        <f t="shared" si="31"/>
        <v>4610</v>
      </c>
      <c r="H52" s="376">
        <f>4610</f>
        <v>4610</v>
      </c>
      <c r="I52" s="376"/>
      <c r="J52" s="376">
        <f t="shared" si="34"/>
        <v>0</v>
      </c>
      <c r="K52" s="376"/>
      <c r="L52" s="376"/>
      <c r="M52" s="376">
        <f t="shared" si="19"/>
        <v>4610</v>
      </c>
      <c r="N52" s="376">
        <f t="shared" si="28"/>
        <v>4610</v>
      </c>
      <c r="O52" s="376">
        <f t="shared" si="20"/>
        <v>0</v>
      </c>
      <c r="P52" s="375"/>
      <c r="Q52" s="375"/>
      <c r="R52" s="376"/>
      <c r="S52" s="376"/>
      <c r="T52" s="376"/>
      <c r="U52" s="376">
        <f t="shared" si="48"/>
        <v>4610</v>
      </c>
      <c r="V52" s="376">
        <f>4610</f>
        <v>4610</v>
      </c>
      <c r="W52" s="376"/>
      <c r="X52" s="376">
        <f t="shared" si="35"/>
        <v>0</v>
      </c>
      <c r="Y52" s="376"/>
      <c r="Z52" s="376"/>
      <c r="AA52" s="376">
        <f t="shared" si="49"/>
        <v>0</v>
      </c>
      <c r="AB52" s="376"/>
      <c r="AC52" s="376"/>
      <c r="AD52" s="376">
        <f>+AE52+AF52</f>
        <v>0</v>
      </c>
      <c r="AE52" s="381">
        <f t="shared" si="33"/>
        <v>0</v>
      </c>
      <c r="AF52" s="381">
        <f t="shared" si="33"/>
        <v>0</v>
      </c>
      <c r="AG52" s="376">
        <f t="shared" si="50"/>
        <v>62813.740149999998</v>
      </c>
      <c r="AH52" s="376">
        <f>'[7]Nhập data'!C18</f>
        <v>62813.740149999998</v>
      </c>
      <c r="AI52" s="376">
        <f>'[7]Nhập data'!D18</f>
        <v>0</v>
      </c>
      <c r="AJ52" s="376">
        <f t="shared" si="26"/>
        <v>147257</v>
      </c>
      <c r="AK52" s="400">
        <v>147257</v>
      </c>
      <c r="AL52" s="376">
        <f t="shared" si="51"/>
        <v>0</v>
      </c>
      <c r="AM52" s="376">
        <f t="shared" si="52"/>
        <v>147257</v>
      </c>
      <c r="AN52" s="376">
        <v>147257</v>
      </c>
      <c r="AO52" s="376">
        <f t="shared" si="53"/>
        <v>0</v>
      </c>
      <c r="AP52" s="382"/>
      <c r="AQ52" s="382"/>
      <c r="AR52" s="382"/>
      <c r="AS52" s="382">
        <f t="shared" si="6"/>
        <v>2.3443437637744298</v>
      </c>
      <c r="AT52" s="383">
        <f>'[7]Nhập data'!C18</f>
        <v>62813.740149999998</v>
      </c>
      <c r="AV52" s="372"/>
      <c r="AW52" s="384"/>
    </row>
    <row r="53" spans="1:49" s="108" customFormat="1" ht="28.2" customHeight="1" x14ac:dyDescent="0.3">
      <c r="A53" s="37">
        <v>3</v>
      </c>
      <c r="B53" s="375" t="s">
        <v>166</v>
      </c>
      <c r="C53" s="376"/>
      <c r="D53" s="376"/>
      <c r="E53" s="376"/>
      <c r="F53" s="376"/>
      <c r="G53" s="376"/>
      <c r="H53" s="376"/>
      <c r="I53" s="376"/>
      <c r="J53" s="376"/>
      <c r="K53" s="376"/>
      <c r="L53" s="376"/>
      <c r="M53" s="376"/>
      <c r="N53" s="376"/>
      <c r="O53" s="376"/>
      <c r="P53" s="375"/>
      <c r="Q53" s="375"/>
      <c r="R53" s="376"/>
      <c r="S53" s="376"/>
      <c r="T53" s="376"/>
      <c r="U53" s="376"/>
      <c r="V53" s="376"/>
      <c r="W53" s="376"/>
      <c r="X53" s="376"/>
      <c r="Y53" s="376"/>
      <c r="Z53" s="376"/>
      <c r="AA53" s="376"/>
      <c r="AB53" s="376"/>
      <c r="AC53" s="376"/>
      <c r="AD53" s="376"/>
      <c r="AE53" s="381">
        <f t="shared" si="33"/>
        <v>0</v>
      </c>
      <c r="AF53" s="381">
        <f t="shared" si="33"/>
        <v>0</v>
      </c>
      <c r="AG53" s="376">
        <f t="shared" si="50"/>
        <v>4098.6313220000002</v>
      </c>
      <c r="AH53" s="376">
        <f>'[7]Nhập data'!C19</f>
        <v>3585</v>
      </c>
      <c r="AI53" s="376">
        <f>'[7]Nhập data'!D19</f>
        <v>513.63132199999995</v>
      </c>
      <c r="AJ53" s="376">
        <f t="shared" si="26"/>
        <v>4800</v>
      </c>
      <c r="AK53" s="400">
        <v>3585</v>
      </c>
      <c r="AL53" s="400">
        <v>1215</v>
      </c>
      <c r="AM53" s="376">
        <f t="shared" si="52"/>
        <v>4800</v>
      </c>
      <c r="AN53" s="376">
        <v>3585</v>
      </c>
      <c r="AO53" s="376">
        <v>1215</v>
      </c>
      <c r="AP53" s="382"/>
      <c r="AQ53" s="382"/>
      <c r="AR53" s="382"/>
      <c r="AS53" s="382"/>
      <c r="AT53" s="383">
        <f>'[7]Nhập data'!E19</f>
        <v>0</v>
      </c>
      <c r="AW53" s="384"/>
    </row>
    <row r="54" spans="1:49" s="372" customFormat="1" ht="28.2" customHeight="1" x14ac:dyDescent="0.3">
      <c r="A54" s="367" t="s">
        <v>97</v>
      </c>
      <c r="B54" s="398" t="s">
        <v>98</v>
      </c>
      <c r="C54" s="368">
        <v>16814</v>
      </c>
      <c r="D54" s="368">
        <f>+E54+F54</f>
        <v>27808</v>
      </c>
      <c r="E54" s="368">
        <v>23198</v>
      </c>
      <c r="F54" s="368">
        <v>4610</v>
      </c>
      <c r="G54" s="368">
        <f t="shared" si="31"/>
        <v>23198.400000000001</v>
      </c>
      <c r="H54" s="368">
        <f>+E54-H52</f>
        <v>18588</v>
      </c>
      <c r="I54" s="368">
        <f>+'[9]Chi xã (NQ mới)'!DB78</f>
        <v>4610.3999999999996</v>
      </c>
      <c r="J54" s="376">
        <f t="shared" si="34"/>
        <v>0</v>
      </c>
      <c r="K54" s="368"/>
      <c r="L54" s="368"/>
      <c r="M54" s="368">
        <f t="shared" si="19"/>
        <v>23198.400000000001</v>
      </c>
      <c r="N54" s="368">
        <f t="shared" si="28"/>
        <v>18588</v>
      </c>
      <c r="O54" s="368">
        <f t="shared" si="20"/>
        <v>4610.3999999999996</v>
      </c>
      <c r="P54" s="373"/>
      <c r="Q54" s="377">
        <f>+G54/D54*100</f>
        <v>83.423475258918302</v>
      </c>
      <c r="R54" s="368">
        <f>+S54+T54</f>
        <v>37901</v>
      </c>
      <c r="S54" s="368">
        <v>30813</v>
      </c>
      <c r="T54" s="368">
        <v>7088</v>
      </c>
      <c r="U54" s="368" t="e">
        <f t="shared" ref="U54" si="54">+V54+W54</f>
        <v>#REF!</v>
      </c>
      <c r="V54" s="368">
        <f>+S54-V52</f>
        <v>26203</v>
      </c>
      <c r="W54" s="368" t="e">
        <f>+'[9]Chi xã (NQ mới)'!DP78</f>
        <v>#REF!</v>
      </c>
      <c r="X54" s="376">
        <f t="shared" ref="X54" si="55">+Y54+Z54</f>
        <v>0</v>
      </c>
      <c r="Y54" s="368"/>
      <c r="Z54" s="368"/>
      <c r="AA54" s="368">
        <f t="shared" ref="AA54" si="56">+AB54+AC54</f>
        <v>37901</v>
      </c>
      <c r="AB54" s="368">
        <v>30813</v>
      </c>
      <c r="AC54" s="368">
        <v>7088</v>
      </c>
      <c r="AD54" s="368">
        <f t="shared" ref="AD54" si="57">+AE54+AF54</f>
        <v>37901</v>
      </c>
      <c r="AE54" s="397">
        <f t="shared" si="33"/>
        <v>30813</v>
      </c>
      <c r="AF54" s="397">
        <f t="shared" si="33"/>
        <v>7088</v>
      </c>
      <c r="AG54" s="368">
        <f t="shared" si="50"/>
        <v>0</v>
      </c>
      <c r="AH54" s="373"/>
      <c r="AI54" s="373"/>
      <c r="AJ54" s="376">
        <f t="shared" si="26"/>
        <v>0</v>
      </c>
      <c r="AK54" s="373"/>
      <c r="AL54" s="373"/>
      <c r="AM54" s="376">
        <f t="shared" si="52"/>
        <v>0</v>
      </c>
      <c r="AN54" s="373"/>
      <c r="AO54" s="373"/>
      <c r="AP54" s="370">
        <f t="shared" si="30"/>
        <v>0</v>
      </c>
      <c r="AQ54" s="370">
        <f t="shared" si="30"/>
        <v>0</v>
      </c>
      <c r="AR54" s="370">
        <f t="shared" si="30"/>
        <v>0</v>
      </c>
      <c r="AS54" s="370"/>
      <c r="AT54" s="399"/>
      <c r="AV54" s="108"/>
      <c r="AW54" s="384"/>
    </row>
  </sheetData>
  <mergeCells count="21">
    <mergeCell ref="B3:AN3"/>
    <mergeCell ref="U5:W5"/>
    <mergeCell ref="X5:Z5"/>
    <mergeCell ref="AA5:AC5"/>
    <mergeCell ref="AD5:AF5"/>
    <mergeCell ref="A1:B1"/>
    <mergeCell ref="A2:AS2"/>
    <mergeCell ref="AR4:AT4"/>
    <mergeCell ref="A5:A6"/>
    <mergeCell ref="B5:B6"/>
    <mergeCell ref="C5:C6"/>
    <mergeCell ref="D5:F5"/>
    <mergeCell ref="G5:I5"/>
    <mergeCell ref="J5:L5"/>
    <mergeCell ref="M5:O5"/>
    <mergeCell ref="AG5:AI5"/>
    <mergeCell ref="AJ5:AL5"/>
    <mergeCell ref="AP5:AS5"/>
    <mergeCell ref="AM5:AO5"/>
    <mergeCell ref="P5:Q5"/>
    <mergeCell ref="R5:T5"/>
  </mergeCells>
  <pageMargins left="0.7" right="0.7" top="0.75" bottom="0.75" header="0.3" footer="0.3"/>
  <pageSetup paperSize="9" scale="76" orientation="landscape" r:id="rId1"/>
  <colBreaks count="1" manualBreakCount="1">
    <brk id="41"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8"/>
  <sheetViews>
    <sheetView view="pageBreakPreview" zoomScale="115" zoomScaleNormal="100" zoomScaleSheetLayoutView="115" workbookViewId="0">
      <selection activeCell="F32" sqref="F32"/>
    </sheetView>
  </sheetViews>
  <sheetFormatPr defaultColWidth="7.59765625" defaultRowHeight="15.6" x14ac:dyDescent="0.3"/>
  <cols>
    <col min="1" max="1" width="7.59765625" style="178"/>
    <col min="2" max="2" width="21" style="178" customWidth="1"/>
    <col min="3" max="3" width="13.59765625" style="178" customWidth="1"/>
    <col min="4" max="4" width="14.59765625" style="178" customWidth="1"/>
    <col min="5" max="5" width="15.09765625" style="178" customWidth="1"/>
    <col min="6" max="6" width="11.69921875" style="178" customWidth="1"/>
    <col min="7" max="251" width="7.59765625" style="178"/>
    <col min="252" max="252" width="18" style="178" customWidth="1"/>
    <col min="253" max="254" width="12.5" style="178" customWidth="1"/>
    <col min="255" max="255" width="0" style="178" hidden="1" customWidth="1"/>
    <col min="256" max="507" width="7.59765625" style="178"/>
    <col min="508" max="508" width="18" style="178" customWidth="1"/>
    <col min="509" max="510" width="12.5" style="178" customWidth="1"/>
    <col min="511" max="511" width="0" style="178" hidden="1" customWidth="1"/>
    <col min="512" max="763" width="7.59765625" style="178"/>
    <col min="764" max="764" width="18" style="178" customWidth="1"/>
    <col min="765" max="766" width="12.5" style="178" customWidth="1"/>
    <col min="767" max="767" width="0" style="178" hidden="1" customWidth="1"/>
    <col min="768" max="1019" width="7.59765625" style="178"/>
    <col min="1020" max="1020" width="18" style="178" customWidth="1"/>
    <col min="1021" max="1022" width="12.5" style="178" customWidth="1"/>
    <col min="1023" max="1023" width="0" style="178" hidden="1" customWidth="1"/>
    <col min="1024" max="1275" width="7.59765625" style="178"/>
    <col min="1276" max="1276" width="18" style="178" customWidth="1"/>
    <col min="1277" max="1278" width="12.5" style="178" customWidth="1"/>
    <col min="1279" max="1279" width="0" style="178" hidden="1" customWidth="1"/>
    <col min="1280" max="1531" width="7.59765625" style="178"/>
    <col min="1532" max="1532" width="18" style="178" customWidth="1"/>
    <col min="1533" max="1534" width="12.5" style="178" customWidth="1"/>
    <col min="1535" max="1535" width="0" style="178" hidden="1" customWidth="1"/>
    <col min="1536" max="1787" width="7.59765625" style="178"/>
    <col min="1788" max="1788" width="18" style="178" customWidth="1"/>
    <col min="1789" max="1790" width="12.5" style="178" customWidth="1"/>
    <col min="1791" max="1791" width="0" style="178" hidden="1" customWidth="1"/>
    <col min="1792" max="2043" width="7.59765625" style="178"/>
    <col min="2044" max="2044" width="18" style="178" customWidth="1"/>
    <col min="2045" max="2046" width="12.5" style="178" customWidth="1"/>
    <col min="2047" max="2047" width="0" style="178" hidden="1" customWidth="1"/>
    <col min="2048" max="2299" width="7.59765625" style="178"/>
    <col min="2300" max="2300" width="18" style="178" customWidth="1"/>
    <col min="2301" max="2302" width="12.5" style="178" customWidth="1"/>
    <col min="2303" max="2303" width="0" style="178" hidden="1" customWidth="1"/>
    <col min="2304" max="2555" width="7.59765625" style="178"/>
    <col min="2556" max="2556" width="18" style="178" customWidth="1"/>
    <col min="2557" max="2558" width="12.5" style="178" customWidth="1"/>
    <col min="2559" max="2559" width="0" style="178" hidden="1" customWidth="1"/>
    <col min="2560" max="2811" width="7.59765625" style="178"/>
    <col min="2812" max="2812" width="18" style="178" customWidth="1"/>
    <col min="2813" max="2814" width="12.5" style="178" customWidth="1"/>
    <col min="2815" max="2815" width="0" style="178" hidden="1" customWidth="1"/>
    <col min="2816" max="3067" width="7.59765625" style="178"/>
    <col min="3068" max="3068" width="18" style="178" customWidth="1"/>
    <col min="3069" max="3070" width="12.5" style="178" customWidth="1"/>
    <col min="3071" max="3071" width="0" style="178" hidden="1" customWidth="1"/>
    <col min="3072" max="3323" width="7.59765625" style="178"/>
    <col min="3324" max="3324" width="18" style="178" customWidth="1"/>
    <col min="3325" max="3326" width="12.5" style="178" customWidth="1"/>
    <col min="3327" max="3327" width="0" style="178" hidden="1" customWidth="1"/>
    <col min="3328" max="3579" width="7.59765625" style="178"/>
    <col min="3580" max="3580" width="18" style="178" customWidth="1"/>
    <col min="3581" max="3582" width="12.5" style="178" customWidth="1"/>
    <col min="3583" max="3583" width="0" style="178" hidden="1" customWidth="1"/>
    <col min="3584" max="3835" width="7.59765625" style="178"/>
    <col min="3836" max="3836" width="18" style="178" customWidth="1"/>
    <col min="3837" max="3838" width="12.5" style="178" customWidth="1"/>
    <col min="3839" max="3839" width="0" style="178" hidden="1" customWidth="1"/>
    <col min="3840" max="4091" width="7.59765625" style="178"/>
    <col min="4092" max="4092" width="18" style="178" customWidth="1"/>
    <col min="4093" max="4094" width="12.5" style="178" customWidth="1"/>
    <col min="4095" max="4095" width="0" style="178" hidden="1" customWidth="1"/>
    <col min="4096" max="4347" width="7.59765625" style="178"/>
    <col min="4348" max="4348" width="18" style="178" customWidth="1"/>
    <col min="4349" max="4350" width="12.5" style="178" customWidth="1"/>
    <col min="4351" max="4351" width="0" style="178" hidden="1" customWidth="1"/>
    <col min="4352" max="4603" width="7.59765625" style="178"/>
    <col min="4604" max="4604" width="18" style="178" customWidth="1"/>
    <col min="4605" max="4606" width="12.5" style="178" customWidth="1"/>
    <col min="4607" max="4607" width="0" style="178" hidden="1" customWidth="1"/>
    <col min="4608" max="4859" width="7.59765625" style="178"/>
    <col min="4860" max="4860" width="18" style="178" customWidth="1"/>
    <col min="4861" max="4862" width="12.5" style="178" customWidth="1"/>
    <col min="4863" max="4863" width="0" style="178" hidden="1" customWidth="1"/>
    <col min="4864" max="5115" width="7.59765625" style="178"/>
    <col min="5116" max="5116" width="18" style="178" customWidth="1"/>
    <col min="5117" max="5118" width="12.5" style="178" customWidth="1"/>
    <col min="5119" max="5119" width="0" style="178" hidden="1" customWidth="1"/>
    <col min="5120" max="5371" width="7.59765625" style="178"/>
    <col min="5372" max="5372" width="18" style="178" customWidth="1"/>
    <col min="5373" max="5374" width="12.5" style="178" customWidth="1"/>
    <col min="5375" max="5375" width="0" style="178" hidden="1" customWidth="1"/>
    <col min="5376" max="5627" width="7.59765625" style="178"/>
    <col min="5628" max="5628" width="18" style="178" customWidth="1"/>
    <col min="5629" max="5630" width="12.5" style="178" customWidth="1"/>
    <col min="5631" max="5631" width="0" style="178" hidden="1" customWidth="1"/>
    <col min="5632" max="5883" width="7.59765625" style="178"/>
    <col min="5884" max="5884" width="18" style="178" customWidth="1"/>
    <col min="5885" max="5886" width="12.5" style="178" customWidth="1"/>
    <col min="5887" max="5887" width="0" style="178" hidden="1" customWidth="1"/>
    <col min="5888" max="6139" width="7.59765625" style="178"/>
    <col min="6140" max="6140" width="18" style="178" customWidth="1"/>
    <col min="6141" max="6142" width="12.5" style="178" customWidth="1"/>
    <col min="6143" max="6143" width="0" style="178" hidden="1" customWidth="1"/>
    <col min="6144" max="6395" width="7.59765625" style="178"/>
    <col min="6396" max="6396" width="18" style="178" customWidth="1"/>
    <col min="6397" max="6398" width="12.5" style="178" customWidth="1"/>
    <col min="6399" max="6399" width="0" style="178" hidden="1" customWidth="1"/>
    <col min="6400" max="6651" width="7.59765625" style="178"/>
    <col min="6652" max="6652" width="18" style="178" customWidth="1"/>
    <col min="6653" max="6654" width="12.5" style="178" customWidth="1"/>
    <col min="6655" max="6655" width="0" style="178" hidden="1" customWidth="1"/>
    <col min="6656" max="6907" width="7.59765625" style="178"/>
    <col min="6908" max="6908" width="18" style="178" customWidth="1"/>
    <col min="6909" max="6910" width="12.5" style="178" customWidth="1"/>
    <col min="6911" max="6911" width="0" style="178" hidden="1" customWidth="1"/>
    <col min="6912" max="7163" width="7.59765625" style="178"/>
    <col min="7164" max="7164" width="18" style="178" customWidth="1"/>
    <col min="7165" max="7166" width="12.5" style="178" customWidth="1"/>
    <col min="7167" max="7167" width="0" style="178" hidden="1" customWidth="1"/>
    <col min="7168" max="7419" width="7.59765625" style="178"/>
    <col min="7420" max="7420" width="18" style="178" customWidth="1"/>
    <col min="7421" max="7422" width="12.5" style="178" customWidth="1"/>
    <col min="7423" max="7423" width="0" style="178" hidden="1" customWidth="1"/>
    <col min="7424" max="7675" width="7.59765625" style="178"/>
    <col min="7676" max="7676" width="18" style="178" customWidth="1"/>
    <col min="7677" max="7678" width="12.5" style="178" customWidth="1"/>
    <col min="7679" max="7679" width="0" style="178" hidden="1" customWidth="1"/>
    <col min="7680" max="7931" width="7.59765625" style="178"/>
    <col min="7932" max="7932" width="18" style="178" customWidth="1"/>
    <col min="7933" max="7934" width="12.5" style="178" customWidth="1"/>
    <col min="7935" max="7935" width="0" style="178" hidden="1" customWidth="1"/>
    <col min="7936" max="8187" width="7.59765625" style="178"/>
    <col min="8188" max="8188" width="18" style="178" customWidth="1"/>
    <col min="8189" max="8190" width="12.5" style="178" customWidth="1"/>
    <col min="8191" max="8191" width="0" style="178" hidden="1" customWidth="1"/>
    <col min="8192" max="8443" width="7.59765625" style="178"/>
    <col min="8444" max="8444" width="18" style="178" customWidth="1"/>
    <col min="8445" max="8446" width="12.5" style="178" customWidth="1"/>
    <col min="8447" max="8447" width="0" style="178" hidden="1" customWidth="1"/>
    <col min="8448" max="8699" width="7.59765625" style="178"/>
    <col min="8700" max="8700" width="18" style="178" customWidth="1"/>
    <col min="8701" max="8702" width="12.5" style="178" customWidth="1"/>
    <col min="8703" max="8703" width="0" style="178" hidden="1" customWidth="1"/>
    <col min="8704" max="8955" width="7.59765625" style="178"/>
    <col min="8956" max="8956" width="18" style="178" customWidth="1"/>
    <col min="8957" max="8958" width="12.5" style="178" customWidth="1"/>
    <col min="8959" max="8959" width="0" style="178" hidden="1" customWidth="1"/>
    <col min="8960" max="9211" width="7.59765625" style="178"/>
    <col min="9212" max="9212" width="18" style="178" customWidth="1"/>
    <col min="9213" max="9214" width="12.5" style="178" customWidth="1"/>
    <col min="9215" max="9215" width="0" style="178" hidden="1" customWidth="1"/>
    <col min="9216" max="9467" width="7.59765625" style="178"/>
    <col min="9468" max="9468" width="18" style="178" customWidth="1"/>
    <col min="9469" max="9470" width="12.5" style="178" customWidth="1"/>
    <col min="9471" max="9471" width="0" style="178" hidden="1" customWidth="1"/>
    <col min="9472" max="9723" width="7.59765625" style="178"/>
    <col min="9724" max="9724" width="18" style="178" customWidth="1"/>
    <col min="9725" max="9726" width="12.5" style="178" customWidth="1"/>
    <col min="9727" max="9727" width="0" style="178" hidden="1" customWidth="1"/>
    <col min="9728" max="9979" width="7.59765625" style="178"/>
    <col min="9980" max="9980" width="18" style="178" customWidth="1"/>
    <col min="9981" max="9982" width="12.5" style="178" customWidth="1"/>
    <col min="9983" max="9983" width="0" style="178" hidden="1" customWidth="1"/>
    <col min="9984" max="10235" width="7.59765625" style="178"/>
    <col min="10236" max="10236" width="18" style="178" customWidth="1"/>
    <col min="10237" max="10238" width="12.5" style="178" customWidth="1"/>
    <col min="10239" max="10239" width="0" style="178" hidden="1" customWidth="1"/>
    <col min="10240" max="10491" width="7.59765625" style="178"/>
    <col min="10492" max="10492" width="18" style="178" customWidth="1"/>
    <col min="10493" max="10494" width="12.5" style="178" customWidth="1"/>
    <col min="10495" max="10495" width="0" style="178" hidden="1" customWidth="1"/>
    <col min="10496" max="10747" width="7.59765625" style="178"/>
    <col min="10748" max="10748" width="18" style="178" customWidth="1"/>
    <col min="10749" max="10750" width="12.5" style="178" customWidth="1"/>
    <col min="10751" max="10751" width="0" style="178" hidden="1" customWidth="1"/>
    <col min="10752" max="11003" width="7.59765625" style="178"/>
    <col min="11004" max="11004" width="18" style="178" customWidth="1"/>
    <col min="11005" max="11006" width="12.5" style="178" customWidth="1"/>
    <col min="11007" max="11007" width="0" style="178" hidden="1" customWidth="1"/>
    <col min="11008" max="11259" width="7.59765625" style="178"/>
    <col min="11260" max="11260" width="18" style="178" customWidth="1"/>
    <col min="11261" max="11262" width="12.5" style="178" customWidth="1"/>
    <col min="11263" max="11263" width="0" style="178" hidden="1" customWidth="1"/>
    <col min="11264" max="11515" width="7.59765625" style="178"/>
    <col min="11516" max="11516" width="18" style="178" customWidth="1"/>
    <col min="11517" max="11518" width="12.5" style="178" customWidth="1"/>
    <col min="11519" max="11519" width="0" style="178" hidden="1" customWidth="1"/>
    <col min="11520" max="11771" width="7.59765625" style="178"/>
    <col min="11772" max="11772" width="18" style="178" customWidth="1"/>
    <col min="11773" max="11774" width="12.5" style="178" customWidth="1"/>
    <col min="11775" max="11775" width="0" style="178" hidden="1" customWidth="1"/>
    <col min="11776" max="12027" width="7.59765625" style="178"/>
    <col min="12028" max="12028" width="18" style="178" customWidth="1"/>
    <col min="12029" max="12030" width="12.5" style="178" customWidth="1"/>
    <col min="12031" max="12031" width="0" style="178" hidden="1" customWidth="1"/>
    <col min="12032" max="12283" width="7.59765625" style="178"/>
    <col min="12284" max="12284" width="18" style="178" customWidth="1"/>
    <col min="12285" max="12286" width="12.5" style="178" customWidth="1"/>
    <col min="12287" max="12287" width="0" style="178" hidden="1" customWidth="1"/>
    <col min="12288" max="12539" width="7.59765625" style="178"/>
    <col min="12540" max="12540" width="18" style="178" customWidth="1"/>
    <col min="12541" max="12542" width="12.5" style="178" customWidth="1"/>
    <col min="12543" max="12543" width="0" style="178" hidden="1" customWidth="1"/>
    <col min="12544" max="12795" width="7.59765625" style="178"/>
    <col min="12796" max="12796" width="18" style="178" customWidth="1"/>
    <col min="12797" max="12798" width="12.5" style="178" customWidth="1"/>
    <col min="12799" max="12799" width="0" style="178" hidden="1" customWidth="1"/>
    <col min="12800" max="13051" width="7.59765625" style="178"/>
    <col min="13052" max="13052" width="18" style="178" customWidth="1"/>
    <col min="13053" max="13054" width="12.5" style="178" customWidth="1"/>
    <col min="13055" max="13055" width="0" style="178" hidden="1" customWidth="1"/>
    <col min="13056" max="13307" width="7.59765625" style="178"/>
    <col min="13308" max="13308" width="18" style="178" customWidth="1"/>
    <col min="13309" max="13310" width="12.5" style="178" customWidth="1"/>
    <col min="13311" max="13311" width="0" style="178" hidden="1" customWidth="1"/>
    <col min="13312" max="13563" width="7.59765625" style="178"/>
    <col min="13564" max="13564" width="18" style="178" customWidth="1"/>
    <col min="13565" max="13566" width="12.5" style="178" customWidth="1"/>
    <col min="13567" max="13567" width="0" style="178" hidden="1" customWidth="1"/>
    <col min="13568" max="13819" width="7.59765625" style="178"/>
    <col min="13820" max="13820" width="18" style="178" customWidth="1"/>
    <col min="13821" max="13822" width="12.5" style="178" customWidth="1"/>
    <col min="13823" max="13823" width="0" style="178" hidden="1" customWidth="1"/>
    <col min="13824" max="14075" width="7.59765625" style="178"/>
    <col min="14076" max="14076" width="18" style="178" customWidth="1"/>
    <col min="14077" max="14078" width="12.5" style="178" customWidth="1"/>
    <col min="14079" max="14079" width="0" style="178" hidden="1" customWidth="1"/>
    <col min="14080" max="14331" width="7.59765625" style="178"/>
    <col min="14332" max="14332" width="18" style="178" customWidth="1"/>
    <col min="14333" max="14334" width="12.5" style="178" customWidth="1"/>
    <col min="14335" max="14335" width="0" style="178" hidden="1" customWidth="1"/>
    <col min="14336" max="14587" width="7.59765625" style="178"/>
    <col min="14588" max="14588" width="18" style="178" customWidth="1"/>
    <col min="14589" max="14590" width="12.5" style="178" customWidth="1"/>
    <col min="14591" max="14591" width="0" style="178" hidden="1" customWidth="1"/>
    <col min="14592" max="14843" width="7.59765625" style="178"/>
    <col min="14844" max="14844" width="18" style="178" customWidth="1"/>
    <col min="14845" max="14846" width="12.5" style="178" customWidth="1"/>
    <col min="14847" max="14847" width="0" style="178" hidden="1" customWidth="1"/>
    <col min="14848" max="15099" width="7.59765625" style="178"/>
    <col min="15100" max="15100" width="18" style="178" customWidth="1"/>
    <col min="15101" max="15102" width="12.5" style="178" customWidth="1"/>
    <col min="15103" max="15103" width="0" style="178" hidden="1" customWidth="1"/>
    <col min="15104" max="15355" width="7.59765625" style="178"/>
    <col min="15356" max="15356" width="18" style="178" customWidth="1"/>
    <col min="15357" max="15358" width="12.5" style="178" customWidth="1"/>
    <col min="15359" max="15359" width="0" style="178" hidden="1" customWidth="1"/>
    <col min="15360" max="15611" width="7.59765625" style="178"/>
    <col min="15612" max="15612" width="18" style="178" customWidth="1"/>
    <col min="15613" max="15614" width="12.5" style="178" customWidth="1"/>
    <col min="15615" max="15615" width="0" style="178" hidden="1" customWidth="1"/>
    <col min="15616" max="15867" width="7.59765625" style="178"/>
    <col min="15868" max="15868" width="18" style="178" customWidth="1"/>
    <col min="15869" max="15870" width="12.5" style="178" customWidth="1"/>
    <col min="15871" max="15871" width="0" style="178" hidden="1" customWidth="1"/>
    <col min="15872" max="16123" width="7.59765625" style="178"/>
    <col min="16124" max="16124" width="18" style="178" customWidth="1"/>
    <col min="16125" max="16126" width="12.5" style="178" customWidth="1"/>
    <col min="16127" max="16127" width="0" style="178" hidden="1" customWidth="1"/>
    <col min="16128" max="16384" width="7.59765625" style="178"/>
  </cols>
  <sheetData>
    <row r="1" spans="1:31" ht="22.5" customHeight="1" x14ac:dyDescent="0.3">
      <c r="A1" s="177" t="s">
        <v>192</v>
      </c>
      <c r="F1" s="178" t="s">
        <v>355</v>
      </c>
    </row>
    <row r="2" spans="1:31" ht="44.25" customHeight="1" x14ac:dyDescent="0.3">
      <c r="A2" s="570" t="s">
        <v>323</v>
      </c>
      <c r="B2" s="570"/>
      <c r="C2" s="570"/>
      <c r="D2" s="570"/>
      <c r="E2" s="570"/>
      <c r="F2" s="570"/>
    </row>
    <row r="4" spans="1:31" s="180" customFormat="1" ht="75.75" customHeight="1" x14ac:dyDescent="0.3">
      <c r="A4" s="179" t="s">
        <v>1</v>
      </c>
      <c r="B4" s="179" t="s">
        <v>326</v>
      </c>
      <c r="C4" s="182" t="s">
        <v>320</v>
      </c>
      <c r="D4" s="182" t="s">
        <v>321</v>
      </c>
      <c r="E4" s="182" t="s">
        <v>325</v>
      </c>
      <c r="F4" s="182" t="s">
        <v>322</v>
      </c>
    </row>
    <row r="5" spans="1:31" ht="20.25" customHeight="1" x14ac:dyDescent="0.3">
      <c r="A5" s="188">
        <v>1</v>
      </c>
      <c r="B5" s="189" t="s">
        <v>217</v>
      </c>
      <c r="C5" s="190"/>
      <c r="D5" s="191">
        <f>'[10]CT chi'!J83</f>
        <v>599.06399999999996</v>
      </c>
      <c r="E5" s="191">
        <f>'[10]CT chi'!J84</f>
        <v>214.03200000000001</v>
      </c>
      <c r="F5" s="190"/>
    </row>
    <row r="6" spans="1:31" ht="20.25" customHeight="1" x14ac:dyDescent="0.3">
      <c r="A6" s="183">
        <v>2</v>
      </c>
      <c r="B6" s="184" t="s">
        <v>218</v>
      </c>
      <c r="C6" s="185"/>
      <c r="D6" s="186">
        <f>'[10]CT chi'!Q83</f>
        <v>447.92399999999998</v>
      </c>
      <c r="E6" s="186">
        <f>'[10]CT chi'!Q84</f>
        <v>168.16800000000001</v>
      </c>
      <c r="F6" s="185"/>
    </row>
    <row r="7" spans="1:31" ht="20.25" customHeight="1" x14ac:dyDescent="0.3">
      <c r="A7" s="183">
        <v>3</v>
      </c>
      <c r="B7" s="184" t="s">
        <v>219</v>
      </c>
      <c r="C7" s="185">
        <v>200</v>
      </c>
      <c r="D7" s="186">
        <f>'[10]CT chi'!X83</f>
        <v>258.31200000000001</v>
      </c>
      <c r="E7" s="186">
        <f>'[10]CT chi'!X84</f>
        <v>122.304</v>
      </c>
      <c r="F7" s="185">
        <v>100</v>
      </c>
    </row>
    <row r="8" spans="1:31" ht="20.25" customHeight="1" x14ac:dyDescent="0.3">
      <c r="A8" s="183">
        <v>4</v>
      </c>
      <c r="B8" s="184" t="s">
        <v>220</v>
      </c>
      <c r="C8" s="185"/>
      <c r="D8" s="186">
        <f>'[10]CT chi'!AE83</f>
        <v>208.84800000000001</v>
      </c>
      <c r="E8" s="186">
        <f>'[10]CT chi'!AE84</f>
        <v>76.44</v>
      </c>
      <c r="F8" s="185">
        <v>100</v>
      </c>
      <c r="AE8" s="178">
        <f>+AE11+AE38+AE41</f>
        <v>0</v>
      </c>
    </row>
    <row r="9" spans="1:31" ht="20.25" customHeight="1" x14ac:dyDescent="0.3">
      <c r="A9" s="183">
        <v>5</v>
      </c>
      <c r="B9" s="184" t="s">
        <v>221</v>
      </c>
      <c r="C9" s="185">
        <v>200</v>
      </c>
      <c r="D9" s="186">
        <f>'[10]CT chi'!AL83</f>
        <v>359.988</v>
      </c>
      <c r="E9" s="186">
        <f>'[10]CT chi'!AL84</f>
        <v>137.59200000000001</v>
      </c>
      <c r="F9" s="185">
        <v>100</v>
      </c>
    </row>
    <row r="10" spans="1:31" ht="20.25" customHeight="1" x14ac:dyDescent="0.3">
      <c r="A10" s="183">
        <v>6</v>
      </c>
      <c r="B10" s="184" t="s">
        <v>222</v>
      </c>
      <c r="C10" s="185">
        <v>200</v>
      </c>
      <c r="D10" s="186">
        <f>'[10]CT chi'!AS83</f>
        <v>475.404</v>
      </c>
      <c r="E10" s="186">
        <f>'[10]CT chi'!AS84</f>
        <v>244.608</v>
      </c>
      <c r="F10" s="185">
        <v>100</v>
      </c>
    </row>
    <row r="11" spans="1:31" ht="20.25" customHeight="1" x14ac:dyDescent="0.3">
      <c r="A11" s="183">
        <v>7</v>
      </c>
      <c r="B11" s="184" t="s">
        <v>223</v>
      </c>
      <c r="C11" s="185"/>
      <c r="D11" s="186">
        <f>'[10]CT chi'!AZ83</f>
        <v>258.31200000000001</v>
      </c>
      <c r="E11" s="186">
        <f>'[10]CT chi'!AZ84</f>
        <v>122.304</v>
      </c>
      <c r="F11" s="185">
        <v>100</v>
      </c>
    </row>
    <row r="12" spans="1:31" ht="20.25" customHeight="1" x14ac:dyDescent="0.3">
      <c r="A12" s="183">
        <v>8</v>
      </c>
      <c r="B12" s="184" t="s">
        <v>224</v>
      </c>
      <c r="C12" s="185"/>
      <c r="D12" s="186">
        <f>'[10]CT chi'!BG83</f>
        <v>208.84800000000001</v>
      </c>
      <c r="E12" s="186">
        <f>'[10]CT chi'!BG84</f>
        <v>76.44</v>
      </c>
      <c r="F12" s="185">
        <v>100</v>
      </c>
    </row>
    <row r="13" spans="1:31" ht="20.25" customHeight="1" x14ac:dyDescent="0.3">
      <c r="A13" s="183">
        <v>9</v>
      </c>
      <c r="B13" s="184" t="s">
        <v>225</v>
      </c>
      <c r="C13" s="185"/>
      <c r="D13" s="186">
        <f>'[10]CT chi'!BN83</f>
        <v>359.988</v>
      </c>
      <c r="E13" s="186">
        <f>'[10]CT chi'!BN84</f>
        <v>183.45600000000002</v>
      </c>
      <c r="F13" s="185">
        <v>100</v>
      </c>
    </row>
    <row r="14" spans="1:31" ht="20.25" customHeight="1" x14ac:dyDescent="0.3">
      <c r="A14" s="183">
        <v>10</v>
      </c>
      <c r="B14" s="184" t="s">
        <v>226</v>
      </c>
      <c r="C14" s="185"/>
      <c r="D14" s="186">
        <f>'[10]CT chi'!BU83</f>
        <v>261.06</v>
      </c>
      <c r="E14" s="186">
        <f>'[10]CT chi'!BU84</f>
        <v>76.44</v>
      </c>
      <c r="F14" s="185">
        <v>100</v>
      </c>
    </row>
    <row r="15" spans="1:31" ht="20.25" customHeight="1" x14ac:dyDescent="0.3">
      <c r="A15" s="183">
        <v>11</v>
      </c>
      <c r="B15" s="184" t="s">
        <v>227</v>
      </c>
      <c r="C15" s="185"/>
      <c r="D15" s="186">
        <f>'[10]CT chi'!CB83</f>
        <v>225.33600000000001</v>
      </c>
      <c r="E15" s="186">
        <f>'[10]CT chi'!CB84</f>
        <v>91.728000000000009</v>
      </c>
      <c r="F15" s="185">
        <v>100</v>
      </c>
    </row>
    <row r="16" spans="1:31" ht="20.25" customHeight="1" x14ac:dyDescent="0.3">
      <c r="A16" s="183">
        <v>12</v>
      </c>
      <c r="B16" s="184" t="s">
        <v>228</v>
      </c>
      <c r="C16" s="185"/>
      <c r="D16" s="186">
        <f>'[10]CT chi'!CI83</f>
        <v>208.84800000000001</v>
      </c>
      <c r="E16" s="186">
        <f>'[10]CT chi'!CI84</f>
        <v>76.44</v>
      </c>
      <c r="F16" s="185">
        <v>100</v>
      </c>
    </row>
    <row r="17" spans="1:6" ht="20.25" customHeight="1" x14ac:dyDescent="0.3">
      <c r="A17" s="183">
        <v>13</v>
      </c>
      <c r="B17" s="184" t="s">
        <v>229</v>
      </c>
      <c r="C17" s="185"/>
      <c r="D17" s="186">
        <f>'[10]CT chi'!CP83</f>
        <v>208.84800000000001</v>
      </c>
      <c r="E17" s="186">
        <f>'[10]CT chi'!CP84</f>
        <v>76.44</v>
      </c>
      <c r="F17" s="185">
        <v>100</v>
      </c>
    </row>
    <row r="18" spans="1:6" ht="20.25" customHeight="1" x14ac:dyDescent="0.3">
      <c r="A18" s="183">
        <v>14</v>
      </c>
      <c r="B18" s="184" t="s">
        <v>230</v>
      </c>
      <c r="C18" s="185"/>
      <c r="D18" s="186">
        <f>'[10]CT chi'!CW83</f>
        <v>241.82400000000001</v>
      </c>
      <c r="E18" s="186">
        <f>'[10]CT chi'!CW84</f>
        <v>107.01600000000001</v>
      </c>
      <c r="F18" s="185">
        <v>100</v>
      </c>
    </row>
    <row r="19" spans="1:6" ht="20.25" customHeight="1" x14ac:dyDescent="0.3">
      <c r="A19" s="183">
        <v>15</v>
      </c>
      <c r="B19" s="187" t="s">
        <v>231</v>
      </c>
      <c r="C19" s="185"/>
      <c r="D19" s="186">
        <f>'[10]CT chi'!DD83</f>
        <v>241.82400000000001</v>
      </c>
      <c r="E19" s="186">
        <f>'[10]CT chi'!DD84</f>
        <v>107.01600000000001</v>
      </c>
      <c r="F19" s="185">
        <v>100</v>
      </c>
    </row>
    <row r="20" spans="1:6" ht="20.25" customHeight="1" x14ac:dyDescent="0.3">
      <c r="A20" s="183">
        <v>16</v>
      </c>
      <c r="B20" s="184" t="s">
        <v>232</v>
      </c>
      <c r="C20" s="185"/>
      <c r="D20" s="186">
        <f>'[10]CT chi'!DK83</f>
        <v>217.09200000000001</v>
      </c>
      <c r="E20" s="186">
        <f>'[10]CT chi'!DK84</f>
        <v>45.864000000000004</v>
      </c>
      <c r="F20" s="185">
        <v>100</v>
      </c>
    </row>
    <row r="21" spans="1:6" ht="20.25" customHeight="1" x14ac:dyDescent="0.3">
      <c r="A21" s="192">
        <v>17</v>
      </c>
      <c r="B21" s="193" t="s">
        <v>233</v>
      </c>
      <c r="C21" s="194"/>
      <c r="D21" s="195">
        <f>'[10]CT chi'!DR83</f>
        <v>258.31200000000001</v>
      </c>
      <c r="E21" s="195">
        <f>'[10]CT chi'!DR84</f>
        <v>122.304</v>
      </c>
      <c r="F21" s="194"/>
    </row>
    <row r="22" spans="1:6" ht="20.25" customHeight="1" x14ac:dyDescent="0.3">
      <c r="A22" s="175"/>
      <c r="B22" s="176" t="s">
        <v>7</v>
      </c>
      <c r="C22" s="181">
        <f t="shared" ref="C22:E22" si="0">SUM(C5:C21)</f>
        <v>600</v>
      </c>
      <c r="D22" s="181">
        <f t="shared" si="0"/>
        <v>5039.8319999999985</v>
      </c>
      <c r="E22" s="181">
        <f t="shared" si="0"/>
        <v>2048.5920000000006</v>
      </c>
      <c r="F22" s="181">
        <f>SUM(F5:F21)</f>
        <v>1400</v>
      </c>
    </row>
    <row r="38" spans="26:29" s="212" customFormat="1" x14ac:dyDescent="0.3">
      <c r="Z38" s="212">
        <f>+AA38+AB38+AC38+AD38</f>
        <v>0</v>
      </c>
      <c r="AC38" s="212">
        <f>+AC39+AC40</f>
        <v>0</v>
      </c>
    </row>
  </sheetData>
  <mergeCells count="1">
    <mergeCell ref="A2:F2"/>
  </mergeCells>
  <pageMargins left="0.7" right="0.7" top="0.43" bottom="0.75" header="0.3" footer="0.3"/>
  <pageSetup paperSize="9" scale="98"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39"/>
  <sheetViews>
    <sheetView zoomScale="80" zoomScaleNormal="80" workbookViewId="0">
      <pane xSplit="2" ySplit="8" topLeftCell="Y9" activePane="bottomRight" state="frozen"/>
      <selection pane="topRight" activeCell="C1" sqref="C1"/>
      <selection pane="bottomLeft" activeCell="A6" sqref="A6"/>
      <selection pane="bottomRight" activeCell="AG11" sqref="AG11"/>
    </sheetView>
  </sheetViews>
  <sheetFormatPr defaultRowHeight="15.6" x14ac:dyDescent="0.3"/>
  <cols>
    <col min="1" max="1" width="6.09765625" customWidth="1"/>
    <col min="2" max="2" width="24.69921875" customWidth="1"/>
    <col min="3" max="3" width="10.3984375" style="1" hidden="1" customWidth="1"/>
    <col min="4" max="4" width="12" style="1" hidden="1" customWidth="1"/>
    <col min="5" max="5" width="12.09765625" style="2" customWidth="1"/>
    <col min="6" max="7" width="9.09765625" style="1" bestFit="1" customWidth="1"/>
    <col min="8" max="8" width="11.19921875" style="1" customWidth="1"/>
    <col min="9" max="9" width="10.09765625" style="1" bestFit="1" customWidth="1"/>
    <col min="10" max="10" width="11.09765625" style="1" bestFit="1" customWidth="1"/>
    <col min="11" max="11" width="10.09765625" style="1" bestFit="1" customWidth="1"/>
    <col min="12" max="12" width="9.09765625" style="1" bestFit="1" customWidth="1"/>
    <col min="13" max="13" width="11.09765625" style="1" bestFit="1" customWidth="1"/>
    <col min="14" max="14" width="10.09765625" style="1" bestFit="1" customWidth="1"/>
    <col min="15" max="15" width="11.09765625" style="1" hidden="1" customWidth="1"/>
    <col min="16" max="17" width="9.09765625" style="1" hidden="1" customWidth="1"/>
    <col min="18" max="18" width="11.09765625" style="1" hidden="1" customWidth="1"/>
    <col min="19" max="19" width="10.09765625" style="2" hidden="1" customWidth="1"/>
    <col min="20" max="20" width="11.09765625" style="1" bestFit="1" customWidth="1"/>
    <col min="21" max="22" width="9.09765625" style="2" bestFit="1" customWidth="1"/>
    <col min="23" max="23" width="11.09765625" style="2" bestFit="1" customWidth="1"/>
    <col min="24" max="24" width="10.09765625" style="2" bestFit="1" customWidth="1"/>
    <col min="25" max="25" width="11.09765625" style="1" bestFit="1" customWidth="1"/>
    <col min="26" max="26" width="9.09765625" style="2" bestFit="1" customWidth="1"/>
    <col min="27" max="27" width="10.19921875" style="2" bestFit="1" customWidth="1"/>
    <col min="28" max="28" width="14.59765625" style="2" bestFit="1" customWidth="1"/>
    <col min="29" max="29" width="10.69921875" style="2" bestFit="1" customWidth="1"/>
    <col min="30" max="33" width="10.69921875" style="2" customWidth="1"/>
    <col min="34" max="34" width="10.59765625" style="1" customWidth="1"/>
    <col min="35" max="39" width="11.5" style="1" customWidth="1"/>
    <col min="40" max="40" width="10.8984375" style="1" customWidth="1"/>
    <col min="41" max="41" width="10.09765625" style="1" hidden="1" customWidth="1"/>
    <col min="42" max="42" width="13.69921875" style="1" hidden="1" customWidth="1"/>
    <col min="43" max="43" width="9" style="1"/>
    <col min="44" max="44" width="13.69921875" bestFit="1" customWidth="1"/>
  </cols>
  <sheetData>
    <row r="1" spans="1:47" x14ac:dyDescent="0.3">
      <c r="AA1" s="2">
        <f>+AA3-Z8-AA8</f>
        <v>11709</v>
      </c>
      <c r="AB1" s="2">
        <f>+AB3-AB9</f>
        <v>-11709</v>
      </c>
      <c r="AC1" s="2">
        <f>+AC3-AC9</f>
        <v>0</v>
      </c>
      <c r="AN1" s="1">
        <f>+AN9-AN30</f>
        <v>-431544</v>
      </c>
      <c r="AO1" s="1">
        <f>+O9-O30</f>
        <v>404054</v>
      </c>
    </row>
    <row r="2" spans="1:47" x14ac:dyDescent="0.3">
      <c r="A2" s="505" t="s">
        <v>99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76"/>
      <c r="AK2" s="76"/>
      <c r="AL2" s="76"/>
      <c r="AM2" s="76"/>
      <c r="AN2" s="63">
        <f>+P1/AN1*100</f>
        <v>0</v>
      </c>
      <c r="AO2" s="1">
        <f>+J9-J30</f>
        <v>466662</v>
      </c>
    </row>
    <row r="3" spans="1:47" x14ac:dyDescent="0.3">
      <c r="A3" s="82"/>
      <c r="B3" s="82"/>
      <c r="C3" s="82"/>
      <c r="D3" s="82"/>
      <c r="E3" s="82"/>
      <c r="F3" s="82"/>
      <c r="G3" s="82"/>
      <c r="H3" s="82"/>
      <c r="I3" s="82"/>
      <c r="J3" s="82"/>
      <c r="K3" s="82"/>
      <c r="L3" s="82"/>
      <c r="M3" s="82"/>
      <c r="N3" s="82"/>
      <c r="O3" s="82"/>
      <c r="P3" s="82"/>
      <c r="Q3" s="82"/>
      <c r="R3" s="82"/>
      <c r="S3" s="82"/>
      <c r="T3" s="82"/>
      <c r="U3" s="82"/>
      <c r="V3" s="82"/>
      <c r="W3" s="82"/>
      <c r="X3" s="82"/>
      <c r="Y3" s="82"/>
      <c r="Z3" s="82"/>
      <c r="AA3" s="85">
        <f>+Y9-AB3-AC3</f>
        <v>314510</v>
      </c>
      <c r="AB3" s="83">
        <v>1111739</v>
      </c>
      <c r="AC3" s="83">
        <v>159451</v>
      </c>
      <c r="AD3" s="83"/>
      <c r="AE3" s="83"/>
      <c r="AF3" s="83"/>
      <c r="AG3" s="83"/>
      <c r="AH3" s="82"/>
      <c r="AI3" s="82"/>
      <c r="AJ3" s="82"/>
      <c r="AK3" s="82"/>
      <c r="AL3" s="82"/>
      <c r="AM3" s="82"/>
      <c r="AN3" s="58"/>
      <c r="AO3" s="1">
        <f>+AO1/AO2*100</f>
        <v>86.583865838658397</v>
      </c>
    </row>
    <row r="4" spans="1:47" x14ac:dyDescent="0.3">
      <c r="E4" s="68"/>
      <c r="J4" s="69"/>
      <c r="S4" s="571" t="s">
        <v>0</v>
      </c>
      <c r="T4" s="572"/>
      <c r="U4" s="572"/>
      <c r="V4" s="572"/>
      <c r="W4" s="572"/>
      <c r="X4" s="572"/>
      <c r="Y4" s="572"/>
      <c r="Z4" s="572"/>
      <c r="AA4" s="572"/>
      <c r="AB4" s="572"/>
      <c r="AC4" s="572"/>
      <c r="AD4" s="572"/>
      <c r="AE4" s="572"/>
      <c r="AF4" s="572"/>
      <c r="AG4" s="572"/>
      <c r="AH4" s="572"/>
      <c r="AN4" s="69"/>
      <c r="AP4" s="21"/>
      <c r="AQ4"/>
    </row>
    <row r="5" spans="1:47" ht="20.25" customHeight="1" x14ac:dyDescent="0.3">
      <c r="A5" s="573" t="s">
        <v>1</v>
      </c>
      <c r="B5" s="573" t="s">
        <v>2</v>
      </c>
      <c r="C5" s="575" t="s">
        <v>3</v>
      </c>
      <c r="D5" s="575" t="s">
        <v>4</v>
      </c>
      <c r="E5" s="577" t="s">
        <v>5</v>
      </c>
      <c r="F5" s="577"/>
      <c r="G5" s="577"/>
      <c r="H5" s="577"/>
      <c r="I5" s="577"/>
      <c r="J5" s="577" t="s">
        <v>6</v>
      </c>
      <c r="K5" s="577"/>
      <c r="L5" s="577"/>
      <c r="M5" s="577"/>
      <c r="N5" s="577"/>
      <c r="O5" s="578" t="s">
        <v>164</v>
      </c>
      <c r="P5" s="577"/>
      <c r="Q5" s="577"/>
      <c r="R5" s="577"/>
      <c r="S5" s="577"/>
      <c r="T5" s="578" t="s">
        <v>181</v>
      </c>
      <c r="U5" s="577"/>
      <c r="V5" s="577"/>
      <c r="W5" s="577"/>
      <c r="X5" s="577"/>
      <c r="Y5" s="578" t="s">
        <v>182</v>
      </c>
      <c r="Z5" s="577"/>
      <c r="AA5" s="577"/>
      <c r="AB5" s="577"/>
      <c r="AC5" s="577"/>
      <c r="AD5" s="75"/>
      <c r="AE5" s="75"/>
      <c r="AF5" s="75"/>
      <c r="AG5" s="75"/>
      <c r="AH5" s="579" t="s">
        <v>183</v>
      </c>
      <c r="AI5" s="580"/>
      <c r="AJ5" s="59"/>
      <c r="AK5" s="59"/>
      <c r="AL5" s="59"/>
      <c r="AM5" s="59"/>
      <c r="AN5" s="59">
        <v>3185566</v>
      </c>
      <c r="AO5" s="1">
        <f>+AN6/E8*100</f>
        <v>159.3998423798146</v>
      </c>
      <c r="AP5" s="21"/>
      <c r="AQ5"/>
    </row>
    <row r="6" spans="1:47" ht="62.25" customHeight="1" x14ac:dyDescent="0.3">
      <c r="A6" s="574"/>
      <c r="B6" s="574"/>
      <c r="C6" s="576"/>
      <c r="D6" s="576"/>
      <c r="E6" s="4" t="s">
        <v>7</v>
      </c>
      <c r="F6" s="5" t="s">
        <v>8</v>
      </c>
      <c r="G6" s="5" t="s">
        <v>9</v>
      </c>
      <c r="H6" s="5" t="s">
        <v>10</v>
      </c>
      <c r="I6" s="5" t="s">
        <v>11</v>
      </c>
      <c r="J6" s="5" t="s">
        <v>7</v>
      </c>
      <c r="K6" s="5" t="s">
        <v>8</v>
      </c>
      <c r="L6" s="5" t="s">
        <v>9</v>
      </c>
      <c r="M6" s="5" t="s">
        <v>10</v>
      </c>
      <c r="N6" s="5" t="s">
        <v>11</v>
      </c>
      <c r="O6" s="5" t="s">
        <v>7</v>
      </c>
      <c r="P6" s="5" t="s">
        <v>8</v>
      </c>
      <c r="Q6" s="5" t="s">
        <v>9</v>
      </c>
      <c r="R6" s="5" t="s">
        <v>10</v>
      </c>
      <c r="S6" s="4" t="s">
        <v>11</v>
      </c>
      <c r="T6" s="4" t="s">
        <v>7</v>
      </c>
      <c r="U6" s="66" t="s">
        <v>8</v>
      </c>
      <c r="V6" s="66" t="s">
        <v>9</v>
      </c>
      <c r="W6" s="66" t="s">
        <v>10</v>
      </c>
      <c r="X6" s="66" t="s">
        <v>11</v>
      </c>
      <c r="Y6" s="4" t="s">
        <v>7</v>
      </c>
      <c r="Z6" s="66" t="s">
        <v>8</v>
      </c>
      <c r="AA6" s="66" t="s">
        <v>9</v>
      </c>
      <c r="AB6" s="66" t="s">
        <v>10</v>
      </c>
      <c r="AC6" s="66" t="s">
        <v>11</v>
      </c>
      <c r="AD6" s="581" t="s">
        <v>184</v>
      </c>
      <c r="AE6" s="582"/>
      <c r="AF6" s="582"/>
      <c r="AG6" s="582"/>
      <c r="AH6" s="583"/>
      <c r="AI6" s="57" t="s">
        <v>185</v>
      </c>
      <c r="AJ6" s="60"/>
      <c r="AK6" s="60"/>
      <c r="AL6" s="60"/>
      <c r="AM6" s="60"/>
      <c r="AN6" s="60">
        <f>+AN5/5*6</f>
        <v>3822679.1999999997</v>
      </c>
      <c r="AO6" s="1">
        <f>+AN6/J8*100</f>
        <v>140.12645797081473</v>
      </c>
      <c r="AP6" s="21"/>
      <c r="AQ6"/>
      <c r="AR6" s="40"/>
      <c r="AS6" s="40"/>
      <c r="AT6" s="40"/>
      <c r="AU6" s="40"/>
    </row>
    <row r="7" spans="1:47" ht="62.25" customHeight="1" x14ac:dyDescent="0.3">
      <c r="A7" s="77"/>
      <c r="B7" s="77"/>
      <c r="C7" s="61"/>
      <c r="D7" s="61"/>
      <c r="E7" s="4"/>
      <c r="F7" s="5"/>
      <c r="G7" s="5"/>
      <c r="H7" s="5"/>
      <c r="I7" s="5"/>
      <c r="J7" s="5"/>
      <c r="K7" s="5"/>
      <c r="L7" s="5"/>
      <c r="M7" s="5"/>
      <c r="N7" s="5"/>
      <c r="O7" s="5"/>
      <c r="P7" s="5"/>
      <c r="Q7" s="5"/>
      <c r="R7" s="5"/>
      <c r="S7" s="4"/>
      <c r="T7" s="4"/>
      <c r="U7" s="66"/>
      <c r="V7" s="66"/>
      <c r="W7" s="66"/>
      <c r="X7" s="66"/>
      <c r="Y7" s="4"/>
      <c r="Z7" s="66"/>
      <c r="AA7" s="66"/>
      <c r="AB7" s="66"/>
      <c r="AC7" s="66"/>
      <c r="AD7" s="4" t="s">
        <v>7</v>
      </c>
      <c r="AE7" s="66" t="s">
        <v>8</v>
      </c>
      <c r="AF7" s="66" t="s">
        <v>9</v>
      </c>
      <c r="AG7" s="66" t="s">
        <v>10</v>
      </c>
      <c r="AH7" s="66" t="s">
        <v>11</v>
      </c>
      <c r="AI7" s="86"/>
      <c r="AJ7" s="60"/>
      <c r="AK7" s="60"/>
      <c r="AL7" s="60"/>
      <c r="AM7" s="60"/>
      <c r="AN7" s="60"/>
      <c r="AP7" s="21"/>
      <c r="AQ7"/>
      <c r="AR7" s="40"/>
      <c r="AS7" s="40"/>
      <c r="AT7" s="40"/>
      <c r="AU7" s="40"/>
    </row>
    <row r="8" spans="1:47" s="12" customFormat="1" ht="20.100000000000001" customHeight="1" x14ac:dyDescent="0.3">
      <c r="A8" s="6"/>
      <c r="B8" s="6" t="s">
        <v>12</v>
      </c>
      <c r="C8" s="7">
        <f t="shared" ref="C8:I8" si="0">+C9+C36</f>
        <v>2335284</v>
      </c>
      <c r="D8" s="7">
        <f t="shared" si="0"/>
        <v>4228016</v>
      </c>
      <c r="E8" s="7">
        <f t="shared" si="0"/>
        <v>2398170</v>
      </c>
      <c r="F8" s="8">
        <f t="shared" si="0"/>
        <v>10701</v>
      </c>
      <c r="G8" s="8">
        <f t="shared" si="0"/>
        <v>551600</v>
      </c>
      <c r="H8" s="8">
        <f t="shared" si="0"/>
        <v>1566064.6</v>
      </c>
      <c r="I8" s="8">
        <f t="shared" si="0"/>
        <v>269804.40000000002</v>
      </c>
      <c r="J8" s="8">
        <f>+J9+J36-1</f>
        <v>2728021</v>
      </c>
      <c r="K8" s="8">
        <f>+K9+K36</f>
        <v>10701</v>
      </c>
      <c r="L8" s="8">
        <f>+L9+L36</f>
        <v>607600</v>
      </c>
      <c r="M8" s="8">
        <f>+M9+M36</f>
        <v>1797345.6</v>
      </c>
      <c r="N8" s="8">
        <f>+N9+N36-1</f>
        <v>312374.40000000002</v>
      </c>
      <c r="O8" s="7">
        <f>+O9+O36+O39</f>
        <v>1988864</v>
      </c>
      <c r="P8" s="7">
        <f t="shared" ref="P8:R8" si="1">+P9+P36+P39</f>
        <v>26768</v>
      </c>
      <c r="Q8" s="7">
        <f t="shared" si="1"/>
        <v>500852</v>
      </c>
      <c r="R8" s="7">
        <f t="shared" si="1"/>
        <v>1122673</v>
      </c>
      <c r="S8" s="7">
        <f>+S9+S36+S39</f>
        <v>338571</v>
      </c>
      <c r="T8" s="7">
        <f>+T9+T36+T39</f>
        <v>2586348</v>
      </c>
      <c r="U8" s="7">
        <f t="shared" ref="U8" si="2">+U9+U36+U39</f>
        <v>30401</v>
      </c>
      <c r="V8" s="7">
        <f>+V9+V36+V39</f>
        <v>697864</v>
      </c>
      <c r="W8" s="7">
        <f>+W9+W36+W39</f>
        <v>1571974</v>
      </c>
      <c r="X8" s="7">
        <f>+X9+X36+X39</f>
        <v>286109</v>
      </c>
      <c r="Y8" s="7">
        <f>+Y9+Y36+Y39</f>
        <v>1701313.5</v>
      </c>
      <c r="Z8" s="7">
        <f t="shared" ref="Z8" si="3">+Z9+Z36+Z39</f>
        <v>1201</v>
      </c>
      <c r="AA8" s="7">
        <f>+AA9+AA36+AA39</f>
        <v>301600</v>
      </c>
      <c r="AB8" s="7">
        <f>+AB9+AB36+AB39</f>
        <v>1197488.5</v>
      </c>
      <c r="AC8" s="7">
        <f>+AC9+AC36+AC39</f>
        <v>201024</v>
      </c>
      <c r="AD8" s="7"/>
      <c r="AE8" s="7"/>
      <c r="AF8" s="7"/>
      <c r="AG8" s="7"/>
      <c r="AH8" s="9">
        <f>+O8/E8*100</f>
        <v>82.932569417514188</v>
      </c>
      <c r="AI8" s="62">
        <f>+O8/J8*100</f>
        <v>72.905010628583867</v>
      </c>
      <c r="AJ8" s="62"/>
      <c r="AK8" s="62"/>
      <c r="AL8" s="62"/>
      <c r="AM8" s="62"/>
      <c r="AN8" s="7">
        <v>547309</v>
      </c>
      <c r="AO8" s="10">
        <v>229</v>
      </c>
      <c r="AP8" s="11"/>
      <c r="AQ8" s="11"/>
      <c r="AR8" s="1"/>
      <c r="AS8" s="70"/>
      <c r="AT8" s="70"/>
      <c r="AU8" s="70"/>
    </row>
    <row r="9" spans="1:47" s="12" customFormat="1" ht="20.100000000000001" customHeight="1" x14ac:dyDescent="0.3">
      <c r="A9" s="13" t="s">
        <v>13</v>
      </c>
      <c r="B9" s="14" t="s">
        <v>14</v>
      </c>
      <c r="C9" s="15">
        <f t="shared" ref="C9:N9" si="4">SUM(C12,C19,C22,C26,C29:C34)</f>
        <v>2067469</v>
      </c>
      <c r="D9" s="15">
        <f t="shared" si="4"/>
        <v>3729202</v>
      </c>
      <c r="E9" s="15">
        <f t="shared" si="4"/>
        <v>2159026</v>
      </c>
      <c r="F9" s="16">
        <f t="shared" si="4"/>
        <v>10701</v>
      </c>
      <c r="G9" s="16">
        <f t="shared" si="4"/>
        <v>551600</v>
      </c>
      <c r="H9" s="16">
        <f t="shared" si="4"/>
        <v>1385762.6</v>
      </c>
      <c r="I9" s="16">
        <f t="shared" si="4"/>
        <v>210962.4</v>
      </c>
      <c r="J9" s="16">
        <f t="shared" si="4"/>
        <v>2486662</v>
      </c>
      <c r="K9" s="16">
        <f t="shared" si="4"/>
        <v>10701</v>
      </c>
      <c r="L9" s="16">
        <f t="shared" si="4"/>
        <v>607600</v>
      </c>
      <c r="M9" s="16">
        <f t="shared" si="4"/>
        <v>1617043.6</v>
      </c>
      <c r="N9" s="16">
        <f t="shared" si="4"/>
        <v>251317.4</v>
      </c>
      <c r="O9" s="16">
        <f>+O10+O11+O12+O19+O22+O25+O26+O29+O30+O31+O32+O33+O34+O35</f>
        <v>1660182</v>
      </c>
      <c r="P9" s="15">
        <f t="shared" ref="P9" si="5">+P10+P11+P12+P19+P22+P25+P26+P29+P30+P31+P32+P33+P34+P35</f>
        <v>26768</v>
      </c>
      <c r="Q9" s="15">
        <f t="shared" ref="Q9:W9" si="6">+Q10+Q11+Q12+Q19+Q22+Q25+Q26+Q29+Q30+Q31+Q32+Q33+Q34+Q35</f>
        <v>500852</v>
      </c>
      <c r="R9" s="15">
        <f t="shared" si="6"/>
        <v>961668</v>
      </c>
      <c r="S9" s="15">
        <f t="shared" si="6"/>
        <v>170894</v>
      </c>
      <c r="T9" s="15">
        <f t="shared" si="6"/>
        <v>2331731</v>
      </c>
      <c r="U9" s="15">
        <f t="shared" si="6"/>
        <v>30401</v>
      </c>
      <c r="V9" s="15">
        <f>+V10+V11+V12+V19+V22+V25+V26+V29+V30+V31+V32+V33+V34+V35</f>
        <v>697864</v>
      </c>
      <c r="W9" s="15">
        <f t="shared" si="6"/>
        <v>1366686</v>
      </c>
      <c r="X9" s="15">
        <f>+X10+X11+X12+X19+X22+X25+X26+X29+X30+X31+X32+X33+X34+X35</f>
        <v>236780</v>
      </c>
      <c r="Y9" s="15">
        <f>+Y10+Y11+Y12+Y19+Y22+Y25+Y26+Y29+Y30+Y31+Y32+Y33+Y34+Y35</f>
        <v>1585700</v>
      </c>
      <c r="Z9" s="15">
        <f t="shared" ref="Z9" si="7">+Z10+Z11+Z12+Z19+Z22+Z25+Z26+Z29+Z30+Z31+Z32+Z33+Z34+Z35</f>
        <v>1201</v>
      </c>
      <c r="AA9" s="15">
        <f>+AA10+AA11+AA12+AA19+AA22+AA25+AA26+AA29+AA30+AA31+AA32+AA33+AA34+AA35</f>
        <v>301600</v>
      </c>
      <c r="AB9" s="15">
        <f t="shared" ref="AB9" si="8">+AB10+AB11+AB12+AB19+AB22+AB25+AB26+AB29+AB30+AB31+AB32+AB33+AB34+AB35</f>
        <v>1123448</v>
      </c>
      <c r="AC9" s="15">
        <f>+AC10+AC11+AC12+AC19+AC22+AC25+AC26+AC29+AC30+AC31+AC32+AC33+AC34+AC35</f>
        <v>159451</v>
      </c>
      <c r="AD9" s="78"/>
      <c r="AE9" s="78"/>
      <c r="AF9" s="78"/>
      <c r="AG9" s="78"/>
      <c r="AH9" s="9">
        <f>+T9/E9*100</f>
        <v>107.9992089025329</v>
      </c>
      <c r="AI9" s="9">
        <f>+T9/J9*100</f>
        <v>93.769519138507761</v>
      </c>
      <c r="AJ9" s="62"/>
      <c r="AK9" s="62"/>
      <c r="AL9" s="62"/>
      <c r="AM9" s="62"/>
      <c r="AN9" s="16">
        <v>407134</v>
      </c>
      <c r="AO9" s="10">
        <f>+S9+AO8</f>
        <v>171123</v>
      </c>
      <c r="AP9" s="64">
        <v>103556</v>
      </c>
      <c r="AQ9" s="11"/>
      <c r="AR9" s="10"/>
      <c r="AS9" s="70"/>
      <c r="AT9" s="70"/>
      <c r="AU9" s="70"/>
    </row>
    <row r="10" spans="1:47" s="28" customFormat="1" ht="54.75" customHeight="1" x14ac:dyDescent="0.3">
      <c r="A10" s="25">
        <v>1</v>
      </c>
      <c r="B10" s="30" t="s">
        <v>100</v>
      </c>
      <c r="C10" s="26"/>
      <c r="D10" s="26"/>
      <c r="E10" s="26"/>
      <c r="F10" s="24"/>
      <c r="G10" s="24"/>
      <c r="H10" s="24"/>
      <c r="I10" s="24"/>
      <c r="J10" s="24"/>
      <c r="K10" s="24"/>
      <c r="L10" s="24"/>
      <c r="M10" s="24"/>
      <c r="N10" s="24"/>
      <c r="O10" s="65">
        <f>+P10+Q10+R10+S10</f>
        <v>166</v>
      </c>
      <c r="P10" s="24"/>
      <c r="Q10" s="24">
        <v>121</v>
      </c>
      <c r="R10" s="24">
        <v>45</v>
      </c>
      <c r="S10" s="26"/>
      <c r="T10" s="20">
        <f>+U10+V10+W10+X10</f>
        <v>196</v>
      </c>
      <c r="U10" s="26">
        <f>+P10/5*6</f>
        <v>0</v>
      </c>
      <c r="V10" s="26">
        <f>Sheet1!I3</f>
        <v>136</v>
      </c>
      <c r="W10" s="26">
        <f>Sheet1!J3</f>
        <v>60</v>
      </c>
      <c r="X10" s="26">
        <f t="shared" ref="X10" si="9">+S10/5*6</f>
        <v>0</v>
      </c>
      <c r="Y10" s="20">
        <f>+Z10+AA10+AB10+AC10</f>
        <v>0</v>
      </c>
      <c r="Z10" s="26">
        <f>+U10/5*6</f>
        <v>0</v>
      </c>
      <c r="AA10" s="26">
        <f>Sheet1!N3</f>
        <v>0</v>
      </c>
      <c r="AB10" s="26">
        <f>Sheet1!O3</f>
        <v>0</v>
      </c>
      <c r="AC10" s="26">
        <f t="shared" ref="AC10:AC11" si="10">+X10/5*6</f>
        <v>0</v>
      </c>
      <c r="AD10" s="79"/>
      <c r="AE10" s="79"/>
      <c r="AF10" s="79"/>
      <c r="AG10" s="79"/>
      <c r="AH10" s="67"/>
      <c r="AI10" s="9"/>
      <c r="AJ10" s="62"/>
      <c r="AK10" s="62"/>
      <c r="AL10" s="62"/>
      <c r="AM10" s="62"/>
      <c r="AN10" s="24">
        <v>2070</v>
      </c>
      <c r="AO10" s="27">
        <v>961669</v>
      </c>
      <c r="AP10" s="29">
        <f>+T9-O9</f>
        <v>671549</v>
      </c>
      <c r="AQ10" s="29"/>
    </row>
    <row r="11" spans="1:47" s="28" customFormat="1" ht="51" customHeight="1" x14ac:dyDescent="0.3">
      <c r="A11" s="25">
        <v>2</v>
      </c>
      <c r="B11" s="30" t="s">
        <v>101</v>
      </c>
      <c r="C11" s="26"/>
      <c r="D11" s="26"/>
      <c r="E11" s="26"/>
      <c r="F11" s="24"/>
      <c r="G11" s="24"/>
      <c r="H11" s="24"/>
      <c r="I11" s="24"/>
      <c r="J11" s="24"/>
      <c r="K11" s="24"/>
      <c r="L11" s="24"/>
      <c r="M11" s="24"/>
      <c r="N11" s="24"/>
      <c r="O11" s="65">
        <f t="shared" ref="O11:O39" si="11">+P11+Q11+R11+S11</f>
        <v>1093</v>
      </c>
      <c r="P11" s="24"/>
      <c r="Q11" s="24">
        <v>1093</v>
      </c>
      <c r="R11" s="24"/>
      <c r="S11" s="26"/>
      <c r="T11" s="20">
        <f t="shared" ref="T11:T39" si="12">+U11+V11+W11+X11</f>
        <v>1339</v>
      </c>
      <c r="U11" s="26">
        <f t="shared" ref="U11:U24" si="13">+P11/5*6</f>
        <v>0</v>
      </c>
      <c r="V11" s="26">
        <f>Sheet1!I4</f>
        <v>1339</v>
      </c>
      <c r="W11" s="26">
        <f t="shared" ref="W11:W27" si="14">+R11/5*6</f>
        <v>0</v>
      </c>
      <c r="X11" s="26">
        <f t="shared" ref="X11:X27" si="15">+S11/5*6</f>
        <v>0</v>
      </c>
      <c r="Y11" s="20">
        <f t="shared" ref="Y11:Y28" si="16">+Z11+AA11+AB11+AC11</f>
        <v>0</v>
      </c>
      <c r="Z11" s="26">
        <f t="shared" ref="Z11:Z24" si="17">+U11/5*6</f>
        <v>0</v>
      </c>
      <c r="AA11" s="26">
        <f>Sheet1!N4</f>
        <v>0</v>
      </c>
      <c r="AB11" s="26">
        <f t="shared" ref="AB11" si="18">+W11/5*6</f>
        <v>0</v>
      </c>
      <c r="AC11" s="26">
        <f t="shared" si="10"/>
        <v>0</v>
      </c>
      <c r="AD11" s="79"/>
      <c r="AE11" s="79"/>
      <c r="AF11" s="79"/>
      <c r="AG11" s="79"/>
      <c r="AH11" s="9"/>
      <c r="AI11" s="9"/>
      <c r="AJ11" s="62"/>
      <c r="AK11" s="62"/>
      <c r="AL11" s="62"/>
      <c r="AM11" s="62"/>
      <c r="AN11" s="24">
        <v>171</v>
      </c>
      <c r="AO11" s="27">
        <f>+AO10-R9</f>
        <v>1</v>
      </c>
      <c r="AP11" s="29">
        <f>+O9-O30</f>
        <v>404054</v>
      </c>
      <c r="AQ11" s="29"/>
    </row>
    <row r="12" spans="1:47" ht="20.100000000000001" customHeight="1" x14ac:dyDescent="0.3">
      <c r="A12" s="17">
        <v>3</v>
      </c>
      <c r="B12" s="18" t="s">
        <v>15</v>
      </c>
      <c r="C12" s="19">
        <v>287000</v>
      </c>
      <c r="D12" s="19">
        <v>374646</v>
      </c>
      <c r="E12" s="20">
        <f t="shared" ref="E12:N12" si="19">+E13+E14</f>
        <v>319000</v>
      </c>
      <c r="F12" s="19">
        <f t="shared" si="19"/>
        <v>0</v>
      </c>
      <c r="G12" s="19">
        <f t="shared" si="19"/>
        <v>0</v>
      </c>
      <c r="H12" s="19">
        <f t="shared" si="19"/>
        <v>311000</v>
      </c>
      <c r="I12" s="19">
        <f t="shared" si="19"/>
        <v>8000</v>
      </c>
      <c r="J12" s="19">
        <f t="shared" si="19"/>
        <v>319000</v>
      </c>
      <c r="K12" s="19">
        <f t="shared" si="19"/>
        <v>0</v>
      </c>
      <c r="L12" s="19">
        <f t="shared" si="19"/>
        <v>0</v>
      </c>
      <c r="M12" s="19">
        <f t="shared" si="19"/>
        <v>309204</v>
      </c>
      <c r="N12" s="19">
        <f t="shared" si="19"/>
        <v>9796</v>
      </c>
      <c r="O12" s="65">
        <f t="shared" si="11"/>
        <v>159559</v>
      </c>
      <c r="P12" s="19"/>
      <c r="Q12" s="19">
        <v>21</v>
      </c>
      <c r="R12" s="24">
        <v>157496</v>
      </c>
      <c r="S12" s="26">
        <v>2042</v>
      </c>
      <c r="T12" s="20">
        <f t="shared" si="12"/>
        <v>185509</v>
      </c>
      <c r="U12" s="26">
        <f t="shared" si="13"/>
        <v>0</v>
      </c>
      <c r="V12" s="26">
        <f>Sheet1!I5</f>
        <v>21</v>
      </c>
      <c r="W12" s="26">
        <f>Sheet1!J5</f>
        <v>182600</v>
      </c>
      <c r="X12" s="26">
        <f>Sheet1!K5</f>
        <v>2888</v>
      </c>
      <c r="Y12" s="20">
        <v>412000</v>
      </c>
      <c r="Z12" s="26">
        <f t="shared" si="17"/>
        <v>0</v>
      </c>
      <c r="AA12" s="26">
        <f>Sheet1!N5</f>
        <v>0</v>
      </c>
      <c r="AB12" s="84">
        <f>+Y12-AC12</f>
        <v>398615</v>
      </c>
      <c r="AC12" s="84">
        <f>385+13000</f>
        <v>13385</v>
      </c>
      <c r="AD12" s="87"/>
      <c r="AE12" s="87"/>
      <c r="AF12" s="87"/>
      <c r="AG12" s="87"/>
      <c r="AH12" s="9">
        <f t="shared" ref="AH12:AH34" si="20">+T12/E12*100</f>
        <v>58.153291536050155</v>
      </c>
      <c r="AI12" s="9">
        <f t="shared" ref="AI12:AI34" si="21">+T12/J12*100</f>
        <v>58.153291536050155</v>
      </c>
      <c r="AJ12" s="62"/>
      <c r="AK12" s="62"/>
      <c r="AL12" s="62"/>
      <c r="AM12" s="62"/>
      <c r="AN12" s="24">
        <v>115205</v>
      </c>
      <c r="AO12" s="1">
        <f>+AO11/5*6</f>
        <v>1.2000000000000002</v>
      </c>
      <c r="AP12" s="21">
        <f>+T9-T30</f>
        <v>529210</v>
      </c>
      <c r="AQ12"/>
      <c r="AR12" s="46"/>
      <c r="AS12" s="70"/>
      <c r="AT12" s="70"/>
      <c r="AU12" s="70"/>
    </row>
    <row r="13" spans="1:47" ht="20.100000000000001" customHeight="1" x14ac:dyDescent="0.3">
      <c r="A13" s="17" t="s">
        <v>16</v>
      </c>
      <c r="B13" s="18" t="s">
        <v>17</v>
      </c>
      <c r="C13" s="19"/>
      <c r="D13" s="19"/>
      <c r="E13" s="20">
        <f>SUM(F13:I13)</f>
        <v>193000</v>
      </c>
      <c r="F13" s="19"/>
      <c r="G13" s="19"/>
      <c r="H13" s="19">
        <f>319000-126000</f>
        <v>193000</v>
      </c>
      <c r="I13" s="19"/>
      <c r="J13" s="19">
        <f t="shared" ref="J13:J18" si="22">SUM(K13:N13)</f>
        <v>193000</v>
      </c>
      <c r="K13" s="19"/>
      <c r="L13" s="19"/>
      <c r="M13" s="19">
        <f>+H13</f>
        <v>193000</v>
      </c>
      <c r="N13" s="19"/>
      <c r="O13" s="19">
        <f t="shared" si="11"/>
        <v>0</v>
      </c>
      <c r="P13" s="19"/>
      <c r="Q13" s="19"/>
      <c r="R13" s="19"/>
      <c r="S13" s="20"/>
      <c r="T13" s="20">
        <f t="shared" si="12"/>
        <v>0</v>
      </c>
      <c r="U13" s="26">
        <f t="shared" si="13"/>
        <v>0</v>
      </c>
      <c r="V13" s="26">
        <f t="shared" ref="V13:V27" si="23">+Q13/5*6</f>
        <v>0</v>
      </c>
      <c r="W13" s="26">
        <f t="shared" si="14"/>
        <v>0</v>
      </c>
      <c r="X13" s="26">
        <f t="shared" si="15"/>
        <v>0</v>
      </c>
      <c r="Y13" s="20">
        <f t="shared" si="16"/>
        <v>0</v>
      </c>
      <c r="Z13" s="26">
        <f t="shared" si="17"/>
        <v>0</v>
      </c>
      <c r="AA13" s="26">
        <f t="shared" ref="AA13:AA18" si="24">+V13/5*6</f>
        <v>0</v>
      </c>
      <c r="AB13" s="26">
        <f t="shared" ref="AB13:AB18" si="25">+W13/5*6</f>
        <v>0</v>
      </c>
      <c r="AC13" s="26">
        <f t="shared" ref="AC13:AC18" si="26">+X13/5*6</f>
        <v>0</v>
      </c>
      <c r="AD13" s="79"/>
      <c r="AE13" s="79"/>
      <c r="AF13" s="79"/>
      <c r="AG13" s="79"/>
      <c r="AH13" s="9">
        <f t="shared" si="20"/>
        <v>0</v>
      </c>
      <c r="AI13" s="9">
        <f t="shared" si="21"/>
        <v>0</v>
      </c>
      <c r="AJ13" s="62"/>
      <c r="AK13" s="62"/>
      <c r="AL13" s="62"/>
      <c r="AM13" s="62"/>
      <c r="AN13" s="19"/>
      <c r="AP13"/>
      <c r="AQ13"/>
    </row>
    <row r="14" spans="1:47" ht="35.25" customHeight="1" x14ac:dyDescent="0.3">
      <c r="A14" s="17" t="s">
        <v>18</v>
      </c>
      <c r="B14" s="22" t="s">
        <v>19</v>
      </c>
      <c r="C14" s="19"/>
      <c r="D14" s="19"/>
      <c r="E14" s="20">
        <f>SUM(F14:I14)</f>
        <v>126000</v>
      </c>
      <c r="F14" s="19"/>
      <c r="G14" s="19"/>
      <c r="H14" s="19">
        <v>118000</v>
      </c>
      <c r="I14" s="19">
        <v>8000</v>
      </c>
      <c r="J14" s="19">
        <f>SUM(J15:J18)</f>
        <v>126000</v>
      </c>
      <c r="K14" s="19"/>
      <c r="L14" s="19"/>
      <c r="M14" s="19">
        <f>SUM(M15:M18)</f>
        <v>116204</v>
      </c>
      <c r="N14" s="19">
        <f>SUM(N15:N18)</f>
        <v>9796</v>
      </c>
      <c r="O14" s="19">
        <f t="shared" si="11"/>
        <v>0</v>
      </c>
      <c r="P14" s="19"/>
      <c r="Q14" s="19"/>
      <c r="R14" s="19"/>
      <c r="S14" s="20"/>
      <c r="T14" s="20">
        <f t="shared" si="12"/>
        <v>0</v>
      </c>
      <c r="U14" s="26">
        <f t="shared" si="13"/>
        <v>0</v>
      </c>
      <c r="V14" s="26">
        <f t="shared" si="23"/>
        <v>0</v>
      </c>
      <c r="W14" s="26">
        <f t="shared" si="14"/>
        <v>0</v>
      </c>
      <c r="X14" s="26">
        <f t="shared" si="15"/>
        <v>0</v>
      </c>
      <c r="Y14" s="20">
        <f t="shared" si="16"/>
        <v>0</v>
      </c>
      <c r="Z14" s="26">
        <f t="shared" si="17"/>
        <v>0</v>
      </c>
      <c r="AA14" s="26">
        <f t="shared" si="24"/>
        <v>0</v>
      </c>
      <c r="AB14" s="26">
        <f t="shared" si="25"/>
        <v>0</v>
      </c>
      <c r="AC14" s="26">
        <f t="shared" si="26"/>
        <v>0</v>
      </c>
      <c r="AD14" s="79"/>
      <c r="AE14" s="79"/>
      <c r="AF14" s="79"/>
      <c r="AG14" s="79"/>
      <c r="AH14" s="9">
        <f t="shared" si="20"/>
        <v>0</v>
      </c>
      <c r="AI14" s="9">
        <f t="shared" si="21"/>
        <v>0</v>
      </c>
      <c r="AJ14" s="62"/>
      <c r="AK14" s="62"/>
      <c r="AL14" s="62"/>
      <c r="AM14" s="62"/>
      <c r="AN14" s="19"/>
      <c r="AP14"/>
      <c r="AQ14"/>
    </row>
    <row r="15" spans="1:47" ht="20.100000000000001" customHeight="1" x14ac:dyDescent="0.3">
      <c r="A15" s="17"/>
      <c r="B15" s="18" t="s">
        <v>20</v>
      </c>
      <c r="C15" s="19"/>
      <c r="D15" s="19"/>
      <c r="E15" s="20"/>
      <c r="F15" s="19"/>
      <c r="G15" s="19"/>
      <c r="H15" s="19"/>
      <c r="I15" s="19"/>
      <c r="J15" s="19">
        <f>SUM(K15:N15)</f>
        <v>115480</v>
      </c>
      <c r="K15" s="19"/>
      <c r="L15" s="19"/>
      <c r="M15" s="19">
        <v>105684</v>
      </c>
      <c r="N15" s="19">
        <v>9796</v>
      </c>
      <c r="O15" s="19">
        <f t="shared" si="11"/>
        <v>0</v>
      </c>
      <c r="P15" s="19"/>
      <c r="Q15" s="19"/>
      <c r="R15" s="19"/>
      <c r="S15" s="20"/>
      <c r="T15" s="20">
        <f t="shared" si="12"/>
        <v>0</v>
      </c>
      <c r="U15" s="26">
        <f t="shared" si="13"/>
        <v>0</v>
      </c>
      <c r="V15" s="26">
        <f t="shared" si="23"/>
        <v>0</v>
      </c>
      <c r="W15" s="26">
        <f t="shared" si="14"/>
        <v>0</v>
      </c>
      <c r="X15" s="26">
        <f t="shared" si="15"/>
        <v>0</v>
      </c>
      <c r="Y15" s="20">
        <f t="shared" si="16"/>
        <v>0</v>
      </c>
      <c r="Z15" s="26">
        <f t="shared" si="17"/>
        <v>0</v>
      </c>
      <c r="AA15" s="26">
        <f t="shared" si="24"/>
        <v>0</v>
      </c>
      <c r="AB15" s="26">
        <f t="shared" si="25"/>
        <v>0</v>
      </c>
      <c r="AC15" s="26">
        <f t="shared" si="26"/>
        <v>0</v>
      </c>
      <c r="AD15" s="79"/>
      <c r="AE15" s="79"/>
      <c r="AF15" s="79"/>
      <c r="AG15" s="79"/>
      <c r="AH15" s="9" t="e">
        <f t="shared" si="20"/>
        <v>#DIV/0!</v>
      </c>
      <c r="AI15" s="9">
        <f t="shared" si="21"/>
        <v>0</v>
      </c>
      <c r="AJ15" s="62"/>
      <c r="AK15" s="62"/>
      <c r="AL15" s="62"/>
      <c r="AM15" s="62"/>
      <c r="AN15" s="19"/>
      <c r="AP15"/>
      <c r="AQ15"/>
    </row>
    <row r="16" spans="1:47" ht="20.100000000000001" customHeight="1" x14ac:dyDescent="0.3">
      <c r="A16" s="17"/>
      <c r="B16" s="18" t="s">
        <v>21</v>
      </c>
      <c r="C16" s="19"/>
      <c r="D16" s="19"/>
      <c r="E16" s="20"/>
      <c r="F16" s="19"/>
      <c r="G16" s="19"/>
      <c r="H16" s="19"/>
      <c r="I16" s="19"/>
      <c r="J16" s="19">
        <f t="shared" si="22"/>
        <v>10000</v>
      </c>
      <c r="K16" s="19"/>
      <c r="L16" s="19"/>
      <c r="M16" s="19">
        <v>10000</v>
      </c>
      <c r="N16" s="19"/>
      <c r="O16" s="19">
        <f t="shared" si="11"/>
        <v>0</v>
      </c>
      <c r="P16" s="19"/>
      <c r="Q16" s="19"/>
      <c r="R16" s="19"/>
      <c r="S16" s="20"/>
      <c r="T16" s="20">
        <f t="shared" si="12"/>
        <v>0</v>
      </c>
      <c r="U16" s="26">
        <f t="shared" si="13"/>
        <v>0</v>
      </c>
      <c r="V16" s="26">
        <f t="shared" si="23"/>
        <v>0</v>
      </c>
      <c r="W16" s="26">
        <f t="shared" si="14"/>
        <v>0</v>
      </c>
      <c r="X16" s="26">
        <f t="shared" si="15"/>
        <v>0</v>
      </c>
      <c r="Y16" s="20">
        <f t="shared" si="16"/>
        <v>0</v>
      </c>
      <c r="Z16" s="26">
        <f t="shared" si="17"/>
        <v>0</v>
      </c>
      <c r="AA16" s="26">
        <f t="shared" si="24"/>
        <v>0</v>
      </c>
      <c r="AB16" s="26">
        <f t="shared" si="25"/>
        <v>0</v>
      </c>
      <c r="AC16" s="26">
        <f t="shared" si="26"/>
        <v>0</v>
      </c>
      <c r="AD16" s="79"/>
      <c r="AE16" s="79"/>
      <c r="AF16" s="79"/>
      <c r="AG16" s="79"/>
      <c r="AH16" s="9" t="e">
        <f t="shared" si="20"/>
        <v>#DIV/0!</v>
      </c>
      <c r="AI16" s="9">
        <f t="shared" si="21"/>
        <v>0</v>
      </c>
      <c r="AJ16" s="62"/>
      <c r="AK16" s="62"/>
      <c r="AL16" s="62"/>
      <c r="AM16" s="62"/>
      <c r="AN16" s="19"/>
      <c r="AP16"/>
      <c r="AQ16"/>
    </row>
    <row r="17" spans="1:44" ht="20.100000000000001" customHeight="1" x14ac:dyDescent="0.3">
      <c r="A17" s="17"/>
      <c r="B17" s="18" t="s">
        <v>22</v>
      </c>
      <c r="C17" s="19"/>
      <c r="D17" s="19"/>
      <c r="E17" s="20"/>
      <c r="F17" s="19"/>
      <c r="G17" s="19"/>
      <c r="H17" s="19"/>
      <c r="I17" s="19"/>
      <c r="J17" s="19">
        <f t="shared" si="22"/>
        <v>20</v>
      </c>
      <c r="K17" s="19"/>
      <c r="L17" s="19"/>
      <c r="M17" s="19">
        <v>20</v>
      </c>
      <c r="N17" s="19"/>
      <c r="O17" s="19">
        <f t="shared" si="11"/>
        <v>0</v>
      </c>
      <c r="P17" s="19"/>
      <c r="Q17" s="19"/>
      <c r="R17" s="19"/>
      <c r="S17" s="20"/>
      <c r="T17" s="20">
        <f t="shared" si="12"/>
        <v>0</v>
      </c>
      <c r="U17" s="26">
        <f t="shared" si="13"/>
        <v>0</v>
      </c>
      <c r="V17" s="26">
        <f t="shared" si="23"/>
        <v>0</v>
      </c>
      <c r="W17" s="26">
        <f t="shared" si="14"/>
        <v>0</v>
      </c>
      <c r="X17" s="26">
        <f t="shared" si="15"/>
        <v>0</v>
      </c>
      <c r="Y17" s="20">
        <f t="shared" si="16"/>
        <v>0</v>
      </c>
      <c r="Z17" s="26">
        <f t="shared" si="17"/>
        <v>0</v>
      </c>
      <c r="AA17" s="26">
        <f t="shared" si="24"/>
        <v>0</v>
      </c>
      <c r="AB17" s="26">
        <f t="shared" si="25"/>
        <v>0</v>
      </c>
      <c r="AC17" s="26">
        <f t="shared" si="26"/>
        <v>0</v>
      </c>
      <c r="AD17" s="79"/>
      <c r="AE17" s="79"/>
      <c r="AF17" s="79"/>
      <c r="AG17" s="79"/>
      <c r="AH17" s="9" t="e">
        <f t="shared" si="20"/>
        <v>#DIV/0!</v>
      </c>
      <c r="AI17" s="9">
        <f t="shared" si="21"/>
        <v>0</v>
      </c>
      <c r="AJ17" s="62"/>
      <c r="AK17" s="62"/>
      <c r="AL17" s="62"/>
      <c r="AM17" s="62"/>
      <c r="AN17" s="19"/>
      <c r="AP17"/>
      <c r="AQ17"/>
    </row>
    <row r="18" spans="1:44" ht="20.100000000000001" customHeight="1" x14ac:dyDescent="0.3">
      <c r="A18" s="17"/>
      <c r="B18" s="18" t="s">
        <v>23</v>
      </c>
      <c r="C18" s="19"/>
      <c r="D18" s="19"/>
      <c r="E18" s="20"/>
      <c r="F18" s="19"/>
      <c r="G18" s="19"/>
      <c r="H18" s="19"/>
      <c r="I18" s="19"/>
      <c r="J18" s="19">
        <f t="shared" si="22"/>
        <v>500</v>
      </c>
      <c r="K18" s="19"/>
      <c r="L18" s="19"/>
      <c r="M18" s="19">
        <v>500</v>
      </c>
      <c r="N18" s="19"/>
      <c r="O18" s="19">
        <f t="shared" si="11"/>
        <v>0</v>
      </c>
      <c r="P18" s="19"/>
      <c r="Q18" s="19"/>
      <c r="R18" s="19"/>
      <c r="S18" s="20"/>
      <c r="T18" s="20">
        <f t="shared" si="12"/>
        <v>0</v>
      </c>
      <c r="U18" s="26">
        <f t="shared" si="13"/>
        <v>0</v>
      </c>
      <c r="V18" s="26">
        <f t="shared" si="23"/>
        <v>0</v>
      </c>
      <c r="W18" s="26">
        <f t="shared" si="14"/>
        <v>0</v>
      </c>
      <c r="X18" s="26">
        <f t="shared" si="15"/>
        <v>0</v>
      </c>
      <c r="Y18" s="20">
        <f t="shared" si="16"/>
        <v>0</v>
      </c>
      <c r="Z18" s="26">
        <f t="shared" si="17"/>
        <v>0</v>
      </c>
      <c r="AA18" s="26">
        <f t="shared" si="24"/>
        <v>0</v>
      </c>
      <c r="AB18" s="26">
        <f t="shared" si="25"/>
        <v>0</v>
      </c>
      <c r="AC18" s="26">
        <f t="shared" si="26"/>
        <v>0</v>
      </c>
      <c r="AD18" s="79"/>
      <c r="AE18" s="79"/>
      <c r="AF18" s="79"/>
      <c r="AG18" s="79"/>
      <c r="AH18" s="9" t="e">
        <f t="shared" si="20"/>
        <v>#DIV/0!</v>
      </c>
      <c r="AI18" s="9">
        <f t="shared" si="21"/>
        <v>0</v>
      </c>
      <c r="AJ18" s="62"/>
      <c r="AK18" s="62"/>
      <c r="AL18" s="62"/>
      <c r="AM18" s="62"/>
      <c r="AN18" s="19"/>
      <c r="AP18"/>
      <c r="AQ18"/>
    </row>
    <row r="19" spans="1:44" ht="20.100000000000001" customHeight="1" x14ac:dyDescent="0.3">
      <c r="A19" s="17">
        <v>4</v>
      </c>
      <c r="B19" s="18" t="s">
        <v>24</v>
      </c>
      <c r="C19" s="19">
        <v>32000</v>
      </c>
      <c r="D19" s="19">
        <v>42170</v>
      </c>
      <c r="E19" s="20">
        <f>+E20+E21</f>
        <v>34700</v>
      </c>
      <c r="F19" s="19"/>
      <c r="G19" s="19">
        <f t="shared" ref="G19:N19" si="27">+G20+G21</f>
        <v>1600</v>
      </c>
      <c r="H19" s="19">
        <f>+H20+H21</f>
        <v>15914</v>
      </c>
      <c r="I19" s="19">
        <f t="shared" si="27"/>
        <v>17186</v>
      </c>
      <c r="J19" s="19">
        <f t="shared" si="27"/>
        <v>42315</v>
      </c>
      <c r="K19" s="19">
        <f t="shared" si="27"/>
        <v>0</v>
      </c>
      <c r="L19" s="19">
        <f t="shared" si="27"/>
        <v>1600</v>
      </c>
      <c r="M19" s="19">
        <f t="shared" si="27"/>
        <v>18260</v>
      </c>
      <c r="N19" s="19">
        <f t="shared" si="27"/>
        <v>22455</v>
      </c>
      <c r="O19" s="65">
        <f t="shared" si="11"/>
        <v>48949</v>
      </c>
      <c r="P19" s="19"/>
      <c r="Q19" s="19">
        <v>5451</v>
      </c>
      <c r="R19" s="19">
        <v>21420</v>
      </c>
      <c r="S19" s="20">
        <v>22078</v>
      </c>
      <c r="T19" s="20">
        <f t="shared" si="12"/>
        <v>57203</v>
      </c>
      <c r="U19" s="26">
        <f t="shared" si="13"/>
        <v>0</v>
      </c>
      <c r="V19" s="26">
        <f>Sheet1!I6</f>
        <v>5539</v>
      </c>
      <c r="W19" s="26">
        <f>Sheet1!J6</f>
        <v>25338</v>
      </c>
      <c r="X19" s="26">
        <f>Sheet1!K6</f>
        <v>26326</v>
      </c>
      <c r="Y19" s="20">
        <v>40000</v>
      </c>
      <c r="Z19" s="26">
        <f t="shared" si="17"/>
        <v>0</v>
      </c>
      <c r="AA19" s="84">
        <v>1600</v>
      </c>
      <c r="AB19" s="84">
        <v>15914</v>
      </c>
      <c r="AC19" s="84">
        <v>22486</v>
      </c>
      <c r="AD19" s="87"/>
      <c r="AE19" s="87"/>
      <c r="AF19" s="87"/>
      <c r="AG19" s="87"/>
      <c r="AH19" s="9">
        <f>+T19/E19*100</f>
        <v>164.85014409221904</v>
      </c>
      <c r="AI19" s="9">
        <f>+T19/J19*100</f>
        <v>135.1837409901926</v>
      </c>
      <c r="AJ19" s="62"/>
      <c r="AK19" s="62"/>
      <c r="AL19" s="62"/>
      <c r="AM19" s="62"/>
      <c r="AN19" s="19">
        <v>14142</v>
      </c>
      <c r="AO19" s="1">
        <f>+AO12/J9*100</f>
        <v>4.8257463217759393E-5</v>
      </c>
      <c r="AP19" s="1">
        <f>+J9-J30</f>
        <v>466662</v>
      </c>
      <c r="AQ19" s="21"/>
      <c r="AR19" s="21"/>
    </row>
    <row r="20" spans="1:44" ht="20.100000000000001" customHeight="1" x14ac:dyDescent="0.3">
      <c r="A20" s="17"/>
      <c r="B20" s="18" t="s">
        <v>25</v>
      </c>
      <c r="C20" s="19"/>
      <c r="D20" s="19"/>
      <c r="E20" s="20">
        <f>+F20+G20+H20+I20</f>
        <v>13700</v>
      </c>
      <c r="F20" s="19"/>
      <c r="G20" s="19">
        <v>1600</v>
      </c>
      <c r="H20" s="19">
        <f>5208+206</f>
        <v>5414</v>
      </c>
      <c r="I20" s="19">
        <v>6686</v>
      </c>
      <c r="J20" s="19">
        <f>SUM(K20:N20)</f>
        <v>7595</v>
      </c>
      <c r="K20" s="19"/>
      <c r="L20" s="19">
        <v>1600</v>
      </c>
      <c r="M20" s="19">
        <v>900</v>
      </c>
      <c r="N20" s="19">
        <v>5095</v>
      </c>
      <c r="O20" s="19">
        <f t="shared" si="11"/>
        <v>0</v>
      </c>
      <c r="P20" s="19"/>
      <c r="Q20" s="19"/>
      <c r="R20" s="19"/>
      <c r="S20" s="20"/>
      <c r="T20" s="20">
        <f t="shared" si="12"/>
        <v>0</v>
      </c>
      <c r="U20" s="26">
        <f t="shared" si="13"/>
        <v>0</v>
      </c>
      <c r="V20" s="26">
        <f t="shared" si="23"/>
        <v>0</v>
      </c>
      <c r="W20" s="26">
        <f t="shared" si="14"/>
        <v>0</v>
      </c>
      <c r="X20" s="26">
        <f t="shared" si="15"/>
        <v>0</v>
      </c>
      <c r="Y20" s="20">
        <f t="shared" si="16"/>
        <v>0</v>
      </c>
      <c r="Z20" s="26">
        <f t="shared" si="17"/>
        <v>0</v>
      </c>
      <c r="AA20" s="26">
        <f t="shared" ref="AA20:AA24" si="28">+V20/5*6</f>
        <v>0</v>
      </c>
      <c r="AB20" s="26">
        <f t="shared" ref="AB20:AB21" si="29">+W20/5*6</f>
        <v>0</v>
      </c>
      <c r="AC20" s="26">
        <f t="shared" ref="AC20:AC21" si="30">+X20/5*6</f>
        <v>0</v>
      </c>
      <c r="AD20" s="79"/>
      <c r="AE20" s="79"/>
      <c r="AF20" s="79"/>
      <c r="AG20" s="79"/>
      <c r="AH20" s="9">
        <f t="shared" si="20"/>
        <v>0</v>
      </c>
      <c r="AI20" s="9">
        <f t="shared" si="21"/>
        <v>0</v>
      </c>
      <c r="AJ20" s="62"/>
      <c r="AK20" s="62"/>
      <c r="AL20" s="62"/>
      <c r="AM20" s="62"/>
      <c r="AN20" s="19"/>
      <c r="AP20"/>
      <c r="AQ20"/>
    </row>
    <row r="21" spans="1:44" ht="34.5" customHeight="1" x14ac:dyDescent="0.3">
      <c r="A21" s="17"/>
      <c r="B21" s="22" t="s">
        <v>26</v>
      </c>
      <c r="C21" s="19"/>
      <c r="D21" s="19"/>
      <c r="E21" s="20">
        <v>21000</v>
      </c>
      <c r="F21" s="19"/>
      <c r="G21" s="19"/>
      <c r="H21" s="19">
        <f>+E21*0.5</f>
        <v>10500</v>
      </c>
      <c r="I21" s="19">
        <f>+E21*0.5</f>
        <v>10500</v>
      </c>
      <c r="J21" s="19">
        <f>SUM(K21:N21)</f>
        <v>34720</v>
      </c>
      <c r="K21" s="19"/>
      <c r="L21" s="19"/>
      <c r="M21" s="19">
        <v>17360</v>
      </c>
      <c r="N21" s="19">
        <v>17360</v>
      </c>
      <c r="O21" s="19">
        <f t="shared" si="11"/>
        <v>0</v>
      </c>
      <c r="P21" s="19"/>
      <c r="Q21" s="19"/>
      <c r="R21" s="19"/>
      <c r="S21" s="20"/>
      <c r="T21" s="20">
        <f t="shared" si="12"/>
        <v>0</v>
      </c>
      <c r="U21" s="26">
        <f t="shared" si="13"/>
        <v>0</v>
      </c>
      <c r="V21" s="26">
        <f t="shared" si="23"/>
        <v>0</v>
      </c>
      <c r="W21" s="26">
        <f t="shared" si="14"/>
        <v>0</v>
      </c>
      <c r="X21" s="26">
        <f t="shared" si="15"/>
        <v>0</v>
      </c>
      <c r="Y21" s="20">
        <f t="shared" si="16"/>
        <v>0</v>
      </c>
      <c r="Z21" s="26">
        <f t="shared" si="17"/>
        <v>0</v>
      </c>
      <c r="AA21" s="26">
        <f t="shared" si="28"/>
        <v>0</v>
      </c>
      <c r="AB21" s="26">
        <f t="shared" si="29"/>
        <v>0</v>
      </c>
      <c r="AC21" s="26">
        <f t="shared" si="30"/>
        <v>0</v>
      </c>
      <c r="AD21" s="79"/>
      <c r="AE21" s="79"/>
      <c r="AF21" s="79"/>
      <c r="AG21" s="79"/>
      <c r="AH21" s="9">
        <f t="shared" si="20"/>
        <v>0</v>
      </c>
      <c r="AI21" s="9">
        <f t="shared" si="21"/>
        <v>0</v>
      </c>
      <c r="AJ21" s="62"/>
      <c r="AK21" s="62"/>
      <c r="AL21" s="62"/>
      <c r="AM21" s="62"/>
      <c r="AN21" s="19"/>
      <c r="AP21"/>
      <c r="AQ21"/>
    </row>
    <row r="22" spans="1:44" ht="20.100000000000001" customHeight="1" x14ac:dyDescent="0.3">
      <c r="A22" s="17">
        <v>5</v>
      </c>
      <c r="B22" s="18" t="s">
        <v>27</v>
      </c>
      <c r="C22" s="19">
        <v>77400</v>
      </c>
      <c r="D22" s="19">
        <v>60039</v>
      </c>
      <c r="E22" s="20">
        <f>+E23+E24</f>
        <v>70000</v>
      </c>
      <c r="F22" s="19">
        <f>+F23+F24</f>
        <v>0</v>
      </c>
      <c r="G22" s="19"/>
      <c r="H22" s="19">
        <f>+H23+H24</f>
        <v>62554</v>
      </c>
      <c r="I22" s="19">
        <f t="shared" ref="I22:N22" si="31">+I23+I24</f>
        <v>7446</v>
      </c>
      <c r="J22" s="19">
        <f>+J23+J24</f>
        <v>70000</v>
      </c>
      <c r="K22" s="19">
        <f t="shared" si="31"/>
        <v>0</v>
      </c>
      <c r="L22" s="19">
        <f t="shared" si="31"/>
        <v>0</v>
      </c>
      <c r="M22" s="19">
        <f t="shared" si="31"/>
        <v>61285</v>
      </c>
      <c r="N22" s="19">
        <f t="shared" si="31"/>
        <v>8715</v>
      </c>
      <c r="O22" s="65">
        <f t="shared" si="11"/>
        <v>50508</v>
      </c>
      <c r="P22" s="19"/>
      <c r="Q22" s="19"/>
      <c r="R22" s="19">
        <v>39227</v>
      </c>
      <c r="S22" s="20">
        <v>11281</v>
      </c>
      <c r="T22" s="20">
        <f t="shared" si="12"/>
        <v>66199</v>
      </c>
      <c r="U22" s="26">
        <f t="shared" si="13"/>
        <v>0</v>
      </c>
      <c r="V22" s="26">
        <f t="shared" si="23"/>
        <v>0</v>
      </c>
      <c r="W22" s="26">
        <f>Sheet1!J8</f>
        <v>51930</v>
      </c>
      <c r="X22" s="26">
        <f>Sheet1!K8</f>
        <v>14269</v>
      </c>
      <c r="Y22" s="20">
        <v>91000</v>
      </c>
      <c r="Z22" s="84">
        <f t="shared" si="17"/>
        <v>0</v>
      </c>
      <c r="AA22" s="84">
        <f t="shared" si="28"/>
        <v>0</v>
      </c>
      <c r="AB22" s="84">
        <f>+Y22-AC22</f>
        <v>81000</v>
      </c>
      <c r="AC22" s="84">
        <v>10000</v>
      </c>
      <c r="AD22" s="87"/>
      <c r="AE22" s="87"/>
      <c r="AF22" s="87"/>
      <c r="AG22" s="87"/>
      <c r="AH22" s="9">
        <f t="shared" si="20"/>
        <v>94.57</v>
      </c>
      <c r="AI22" s="9">
        <f t="shared" si="21"/>
        <v>94.57</v>
      </c>
      <c r="AJ22" s="62"/>
      <c r="AK22" s="62"/>
      <c r="AL22" s="62"/>
      <c r="AM22" s="62"/>
      <c r="AN22" s="19">
        <v>15180</v>
      </c>
      <c r="AO22" s="1">
        <f>+AO12/E9*100</f>
        <v>5.5580618297324818E-5</v>
      </c>
      <c r="AP22" s="21">
        <f>+AP12/AP19*100</f>
        <v>113.40327688991177</v>
      </c>
      <c r="AQ22"/>
    </row>
    <row r="23" spans="1:44" ht="20.100000000000001" customHeight="1" x14ac:dyDescent="0.3">
      <c r="A23" s="17"/>
      <c r="B23" s="18" t="s">
        <v>28</v>
      </c>
      <c r="C23" s="19"/>
      <c r="D23" s="19"/>
      <c r="E23" s="20">
        <f>+H23</f>
        <v>55108</v>
      </c>
      <c r="F23" s="19"/>
      <c r="G23" s="19"/>
      <c r="H23" s="19">
        <v>55108</v>
      </c>
      <c r="I23" s="19"/>
      <c r="J23" s="19">
        <f>70000-J24</f>
        <v>52570</v>
      </c>
      <c r="K23" s="19"/>
      <c r="L23" s="19"/>
      <c r="M23" s="19">
        <v>52570</v>
      </c>
      <c r="N23" s="19"/>
      <c r="O23" s="19">
        <f t="shared" si="11"/>
        <v>0</v>
      </c>
      <c r="P23" s="19"/>
      <c r="Q23" s="19"/>
      <c r="R23" s="19"/>
      <c r="S23" s="20"/>
      <c r="T23" s="20">
        <f t="shared" si="12"/>
        <v>0</v>
      </c>
      <c r="U23" s="26">
        <f t="shared" si="13"/>
        <v>0</v>
      </c>
      <c r="V23" s="26">
        <f t="shared" si="23"/>
        <v>0</v>
      </c>
      <c r="W23" s="26">
        <f t="shared" si="14"/>
        <v>0</v>
      </c>
      <c r="X23" s="26">
        <f t="shared" si="15"/>
        <v>0</v>
      </c>
      <c r="Y23" s="20">
        <f t="shared" si="16"/>
        <v>0</v>
      </c>
      <c r="Z23" s="26">
        <f t="shared" si="17"/>
        <v>0</v>
      </c>
      <c r="AA23" s="26">
        <f t="shared" si="28"/>
        <v>0</v>
      </c>
      <c r="AB23" s="26">
        <f t="shared" ref="AB23:AB25" si="32">+W23/5*6</f>
        <v>0</v>
      </c>
      <c r="AC23" s="26">
        <f t="shared" ref="AC23:AC25" si="33">+X23/5*6</f>
        <v>0</v>
      </c>
      <c r="AD23" s="79"/>
      <c r="AE23" s="79"/>
      <c r="AF23" s="79"/>
      <c r="AG23" s="79"/>
      <c r="AH23" s="9">
        <f t="shared" si="20"/>
        <v>0</v>
      </c>
      <c r="AI23" s="9">
        <f t="shared" si="21"/>
        <v>0</v>
      </c>
      <c r="AJ23" s="62"/>
      <c r="AK23" s="62"/>
      <c r="AL23" s="62"/>
      <c r="AM23" s="62"/>
      <c r="AN23" s="19"/>
      <c r="AP23"/>
      <c r="AQ23"/>
    </row>
    <row r="24" spans="1:44" ht="20.100000000000001" customHeight="1" x14ac:dyDescent="0.3">
      <c r="A24" s="17"/>
      <c r="B24" s="18" t="s">
        <v>29</v>
      </c>
      <c r="C24" s="19"/>
      <c r="D24" s="19"/>
      <c r="E24" s="20">
        <v>14892</v>
      </c>
      <c r="F24" s="19"/>
      <c r="G24" s="19"/>
      <c r="H24" s="19">
        <f>+E24*0.5</f>
        <v>7446</v>
      </c>
      <c r="I24" s="19">
        <f>+E24*0.5</f>
        <v>7446</v>
      </c>
      <c r="J24" s="19">
        <f>SUM(K24:N24)</f>
        <v>17430</v>
      </c>
      <c r="K24" s="19"/>
      <c r="L24" s="19"/>
      <c r="M24" s="19">
        <v>8715</v>
      </c>
      <c r="N24" s="19">
        <v>8715</v>
      </c>
      <c r="O24" s="19">
        <f t="shared" si="11"/>
        <v>0</v>
      </c>
      <c r="P24" s="19"/>
      <c r="Q24" s="19"/>
      <c r="R24" s="19"/>
      <c r="S24" s="20"/>
      <c r="T24" s="20">
        <f t="shared" si="12"/>
        <v>0</v>
      </c>
      <c r="U24" s="26">
        <f t="shared" si="13"/>
        <v>0</v>
      </c>
      <c r="V24" s="26">
        <f t="shared" si="23"/>
        <v>0</v>
      </c>
      <c r="W24" s="26">
        <f t="shared" si="14"/>
        <v>0</v>
      </c>
      <c r="X24" s="26">
        <f t="shared" si="15"/>
        <v>0</v>
      </c>
      <c r="Y24" s="20">
        <f t="shared" si="16"/>
        <v>0</v>
      </c>
      <c r="Z24" s="26">
        <f t="shared" si="17"/>
        <v>0</v>
      </c>
      <c r="AA24" s="26">
        <f t="shared" si="28"/>
        <v>0</v>
      </c>
      <c r="AB24" s="26">
        <f t="shared" si="32"/>
        <v>0</v>
      </c>
      <c r="AC24" s="26">
        <f t="shared" si="33"/>
        <v>0</v>
      </c>
      <c r="AD24" s="79"/>
      <c r="AE24" s="79"/>
      <c r="AF24" s="79"/>
      <c r="AG24" s="79"/>
      <c r="AH24" s="9">
        <f t="shared" si="20"/>
        <v>0</v>
      </c>
      <c r="AI24" s="9">
        <f t="shared" si="21"/>
        <v>0</v>
      </c>
      <c r="AJ24" s="62"/>
      <c r="AK24" s="62"/>
      <c r="AL24" s="62"/>
      <c r="AM24" s="62"/>
      <c r="AN24" s="19"/>
      <c r="AP24"/>
      <c r="AQ24"/>
    </row>
    <row r="25" spans="1:44" ht="42" customHeight="1" x14ac:dyDescent="0.35">
      <c r="A25" s="17">
        <v>6</v>
      </c>
      <c r="B25" s="30" t="s">
        <v>102</v>
      </c>
      <c r="C25" s="19"/>
      <c r="D25" s="19"/>
      <c r="E25" s="20"/>
      <c r="F25" s="19"/>
      <c r="G25" s="19"/>
      <c r="H25" s="19"/>
      <c r="I25" s="19"/>
      <c r="J25" s="19"/>
      <c r="K25" s="19"/>
      <c r="L25" s="19"/>
      <c r="M25" s="19"/>
      <c r="N25" s="19"/>
      <c r="O25" s="65">
        <f t="shared" si="11"/>
        <v>40169</v>
      </c>
      <c r="P25" s="19">
        <v>20888</v>
      </c>
      <c r="Q25" s="19">
        <v>19281</v>
      </c>
      <c r="R25" s="19"/>
      <c r="S25" s="20"/>
      <c r="T25" s="20">
        <f t="shared" si="12"/>
        <v>41963</v>
      </c>
      <c r="U25" s="26">
        <f>Sheet1!H7</f>
        <v>21821</v>
      </c>
      <c r="V25" s="26">
        <f>Sheet1!I7</f>
        <v>20142</v>
      </c>
      <c r="W25" s="26">
        <f t="shared" si="14"/>
        <v>0</v>
      </c>
      <c r="X25" s="26">
        <f t="shared" si="15"/>
        <v>0</v>
      </c>
      <c r="Y25" s="20">
        <f t="shared" si="16"/>
        <v>0</v>
      </c>
      <c r="Z25" s="26">
        <f>Sheet1!M7</f>
        <v>0</v>
      </c>
      <c r="AA25" s="26">
        <f>Sheet1!N7</f>
        <v>0</v>
      </c>
      <c r="AB25" s="26">
        <f t="shared" si="32"/>
        <v>0</v>
      </c>
      <c r="AC25" s="26">
        <f t="shared" si="33"/>
        <v>0</v>
      </c>
      <c r="AD25" s="79"/>
      <c r="AE25" s="79"/>
      <c r="AF25" s="79"/>
      <c r="AG25" s="79"/>
      <c r="AH25" s="9"/>
      <c r="AI25" s="9"/>
      <c r="AJ25" s="62"/>
      <c r="AK25" s="62"/>
      <c r="AL25" s="62"/>
      <c r="AM25" s="62"/>
      <c r="AN25" s="19">
        <v>37041</v>
      </c>
      <c r="AO25" s="45">
        <v>505042</v>
      </c>
      <c r="AP25"/>
      <c r="AQ25"/>
    </row>
    <row r="26" spans="1:44" ht="20.100000000000001" customHeight="1" x14ac:dyDescent="0.3">
      <c r="A26" s="17">
        <v>7</v>
      </c>
      <c r="B26" s="18" t="s">
        <v>30</v>
      </c>
      <c r="C26" s="19">
        <v>7190</v>
      </c>
      <c r="D26" s="19">
        <v>8982</v>
      </c>
      <c r="E26" s="20">
        <v>6000</v>
      </c>
      <c r="F26" s="19">
        <v>1201</v>
      </c>
      <c r="G26" s="19"/>
      <c r="H26" s="19">
        <f t="shared" ref="H26:N26" si="34">+H27+H28</f>
        <v>1439</v>
      </c>
      <c r="I26" s="19">
        <f t="shared" si="34"/>
        <v>3360</v>
      </c>
      <c r="J26" s="19">
        <f t="shared" si="34"/>
        <v>6000</v>
      </c>
      <c r="K26" s="19">
        <f t="shared" si="34"/>
        <v>1201</v>
      </c>
      <c r="L26" s="19">
        <f t="shared" si="34"/>
        <v>0</v>
      </c>
      <c r="M26" s="19">
        <f t="shared" si="34"/>
        <v>1439</v>
      </c>
      <c r="N26" s="19">
        <f t="shared" si="34"/>
        <v>3360</v>
      </c>
      <c r="O26" s="65">
        <f t="shared" si="11"/>
        <v>8717</v>
      </c>
      <c r="P26" s="19">
        <v>656</v>
      </c>
      <c r="Q26" s="19">
        <v>1138</v>
      </c>
      <c r="R26" s="19">
        <v>1615</v>
      </c>
      <c r="S26" s="20">
        <v>5308</v>
      </c>
      <c r="T26" s="20">
        <f t="shared" si="12"/>
        <v>9809</v>
      </c>
      <c r="U26" s="26">
        <f>Sheet1!H9</f>
        <v>1023</v>
      </c>
      <c r="V26" s="26">
        <f>Sheet1!I9</f>
        <v>1327</v>
      </c>
      <c r="W26" s="26">
        <f>Sheet1!J9</f>
        <v>1681</v>
      </c>
      <c r="X26" s="26">
        <f>Sheet1!K9</f>
        <v>5778</v>
      </c>
      <c r="Y26" s="20">
        <v>7500</v>
      </c>
      <c r="Z26" s="84">
        <v>1201</v>
      </c>
      <c r="AA26" s="84"/>
      <c r="AB26" s="84">
        <v>1439</v>
      </c>
      <c r="AC26" s="84">
        <f>+Y26-Z26-AA26-AB26</f>
        <v>4860</v>
      </c>
      <c r="AD26" s="87"/>
      <c r="AE26" s="87"/>
      <c r="AF26" s="87"/>
      <c r="AG26" s="87"/>
      <c r="AH26" s="9">
        <f t="shared" si="20"/>
        <v>163.48333333333335</v>
      </c>
      <c r="AI26" s="9">
        <f t="shared" si="21"/>
        <v>163.48333333333335</v>
      </c>
      <c r="AJ26" s="62"/>
      <c r="AK26" s="62"/>
      <c r="AL26" s="62"/>
      <c r="AM26" s="62"/>
      <c r="AN26" s="19">
        <v>3743</v>
      </c>
      <c r="AP26"/>
      <c r="AQ26"/>
    </row>
    <row r="27" spans="1:44" ht="20.100000000000001" customHeight="1" x14ac:dyDescent="0.3">
      <c r="A27" s="17"/>
      <c r="B27" s="18" t="s">
        <v>31</v>
      </c>
      <c r="C27" s="19"/>
      <c r="D27" s="19"/>
      <c r="E27" s="20"/>
      <c r="F27" s="19"/>
      <c r="G27" s="19"/>
      <c r="H27" s="19"/>
      <c r="I27" s="19">
        <v>2170</v>
      </c>
      <c r="J27" s="19">
        <f>SUM(K27:N27)</f>
        <v>2170</v>
      </c>
      <c r="K27" s="19"/>
      <c r="L27" s="19"/>
      <c r="M27" s="19"/>
      <c r="N27" s="19">
        <v>2170</v>
      </c>
      <c r="O27" s="19">
        <f t="shared" si="11"/>
        <v>0</v>
      </c>
      <c r="P27" s="19"/>
      <c r="Q27" s="19"/>
      <c r="R27" s="19"/>
      <c r="S27" s="20"/>
      <c r="T27" s="20">
        <f t="shared" si="12"/>
        <v>0</v>
      </c>
      <c r="U27" s="26">
        <f>+P27/5*6</f>
        <v>0</v>
      </c>
      <c r="V27" s="26">
        <f t="shared" si="23"/>
        <v>0</v>
      </c>
      <c r="W27" s="26">
        <f t="shared" si="14"/>
        <v>0</v>
      </c>
      <c r="X27" s="26">
        <f t="shared" si="15"/>
        <v>0</v>
      </c>
      <c r="Y27" s="20">
        <f t="shared" si="16"/>
        <v>0</v>
      </c>
      <c r="Z27" s="26">
        <f>+U27/5*6</f>
        <v>0</v>
      </c>
      <c r="AA27" s="26">
        <f t="shared" ref="AA27:AA29" si="35">+V27/5*6</f>
        <v>0</v>
      </c>
      <c r="AB27" s="26">
        <f t="shared" ref="AB27:AB29" si="36">+W27/5*6</f>
        <v>0</v>
      </c>
      <c r="AC27" s="26">
        <f t="shared" ref="AC27:AC28" si="37">+X27/5*6</f>
        <v>0</v>
      </c>
      <c r="AD27" s="79"/>
      <c r="AE27" s="79"/>
      <c r="AF27" s="79"/>
      <c r="AG27" s="79"/>
      <c r="AH27" s="9" t="e">
        <f t="shared" si="20"/>
        <v>#DIV/0!</v>
      </c>
      <c r="AI27" s="9">
        <f t="shared" si="21"/>
        <v>0</v>
      </c>
      <c r="AJ27" s="62"/>
      <c r="AK27" s="62"/>
      <c r="AL27" s="62"/>
      <c r="AM27" s="62"/>
      <c r="AN27" s="19"/>
      <c r="AP27"/>
      <c r="AQ27"/>
    </row>
    <row r="28" spans="1:44" ht="20.100000000000001" customHeight="1" x14ac:dyDescent="0.3">
      <c r="A28" s="17"/>
      <c r="B28" s="18" t="s">
        <v>32</v>
      </c>
      <c r="C28" s="19"/>
      <c r="D28" s="19"/>
      <c r="E28" s="20"/>
      <c r="F28" s="19"/>
      <c r="G28" s="19"/>
      <c r="H28" s="19">
        <v>1439</v>
      </c>
      <c r="I28" s="19">
        <v>1190</v>
      </c>
      <c r="J28" s="19">
        <f>SUM(K28:N28)</f>
        <v>3830</v>
      </c>
      <c r="K28" s="19">
        <v>1201</v>
      </c>
      <c r="L28" s="19"/>
      <c r="M28" s="19">
        <f>+H28</f>
        <v>1439</v>
      </c>
      <c r="N28" s="19">
        <v>1190</v>
      </c>
      <c r="O28" s="19">
        <f t="shared" si="11"/>
        <v>0</v>
      </c>
      <c r="P28" s="19"/>
      <c r="Q28" s="19"/>
      <c r="R28" s="19"/>
      <c r="S28" s="20"/>
      <c r="T28" s="20">
        <f t="shared" si="12"/>
        <v>0</v>
      </c>
      <c r="U28" s="26">
        <f t="shared" ref="U28:U29" si="38">+P28/5*6</f>
        <v>0</v>
      </c>
      <c r="V28" s="26">
        <f t="shared" ref="V28:V29" si="39">+Q28/5*6</f>
        <v>0</v>
      </c>
      <c r="W28" s="26">
        <f t="shared" ref="W28:W29" si="40">+R28/5*6</f>
        <v>0</v>
      </c>
      <c r="X28" s="26">
        <f t="shared" ref="X28" si="41">+S28/5*6</f>
        <v>0</v>
      </c>
      <c r="Y28" s="20">
        <f t="shared" si="16"/>
        <v>0</v>
      </c>
      <c r="Z28" s="26">
        <f t="shared" ref="Z28:Z29" si="42">+U28/5*6</f>
        <v>0</v>
      </c>
      <c r="AA28" s="26">
        <f t="shared" si="35"/>
        <v>0</v>
      </c>
      <c r="AB28" s="26">
        <f t="shared" si="36"/>
        <v>0</v>
      </c>
      <c r="AC28" s="26">
        <f t="shared" si="37"/>
        <v>0</v>
      </c>
      <c r="AD28" s="79"/>
      <c r="AE28" s="79"/>
      <c r="AF28" s="79"/>
      <c r="AG28" s="79"/>
      <c r="AH28" s="9" t="e">
        <f t="shared" si="20"/>
        <v>#DIV/0!</v>
      </c>
      <c r="AI28" s="9">
        <f t="shared" si="21"/>
        <v>0</v>
      </c>
      <c r="AJ28" s="62"/>
      <c r="AK28" s="62"/>
      <c r="AL28" s="62"/>
      <c r="AM28" s="62"/>
      <c r="AN28" s="19"/>
      <c r="AP28"/>
      <c r="AQ28"/>
    </row>
    <row r="29" spans="1:44" ht="42.75" customHeight="1" x14ac:dyDescent="0.3">
      <c r="A29" s="17">
        <v>8</v>
      </c>
      <c r="B29" s="22" t="s">
        <v>33</v>
      </c>
      <c r="C29" s="19">
        <v>854</v>
      </c>
      <c r="D29" s="19">
        <v>1521</v>
      </c>
      <c r="E29" s="20">
        <v>800</v>
      </c>
      <c r="F29" s="19"/>
      <c r="G29" s="19"/>
      <c r="H29" s="19"/>
      <c r="I29" s="19">
        <f>+E29</f>
        <v>800</v>
      </c>
      <c r="J29" s="19">
        <f t="shared" ref="J29:J34" si="43">SUM(K29:N29)</f>
        <v>821</v>
      </c>
      <c r="K29" s="19"/>
      <c r="L29" s="19"/>
      <c r="M29" s="19"/>
      <c r="N29" s="19">
        <v>821</v>
      </c>
      <c r="O29" s="65">
        <f t="shared" si="11"/>
        <v>565</v>
      </c>
      <c r="P29" s="19"/>
      <c r="Q29" s="19"/>
      <c r="R29" s="19"/>
      <c r="S29" s="20">
        <v>565</v>
      </c>
      <c r="T29" s="20">
        <f t="shared" si="12"/>
        <v>718</v>
      </c>
      <c r="U29" s="26">
        <f t="shared" si="38"/>
        <v>0</v>
      </c>
      <c r="V29" s="26">
        <f t="shared" si="39"/>
        <v>0</v>
      </c>
      <c r="W29" s="26">
        <f t="shared" si="40"/>
        <v>0</v>
      </c>
      <c r="X29" s="26">
        <f>Sheet1!K10</f>
        <v>718</v>
      </c>
      <c r="Y29" s="20">
        <v>4800</v>
      </c>
      <c r="Z29" s="26">
        <f t="shared" si="42"/>
        <v>0</v>
      </c>
      <c r="AA29" s="26">
        <f t="shared" si="35"/>
        <v>0</v>
      </c>
      <c r="AB29" s="26">
        <f t="shared" si="36"/>
        <v>0</v>
      </c>
      <c r="AC29" s="26">
        <v>4800</v>
      </c>
      <c r="AD29" s="79"/>
      <c r="AE29" s="79"/>
      <c r="AF29" s="79"/>
      <c r="AG29" s="79"/>
      <c r="AH29" s="9">
        <f t="shared" si="20"/>
        <v>89.75</v>
      </c>
      <c r="AI29" s="9">
        <f t="shared" si="21"/>
        <v>87.454323995127893</v>
      </c>
      <c r="AJ29" s="62"/>
      <c r="AK29" s="62"/>
      <c r="AL29" s="62"/>
      <c r="AM29" s="62"/>
      <c r="AN29" s="19">
        <v>196</v>
      </c>
      <c r="AO29" s="1">
        <f>+AO12/AO25*100</f>
        <v>2.3760400125138112E-4</v>
      </c>
      <c r="AP29"/>
      <c r="AQ29"/>
    </row>
    <row r="30" spans="1:44" ht="20.100000000000001" customHeight="1" x14ac:dyDescent="0.3">
      <c r="A30" s="17">
        <v>9</v>
      </c>
      <c r="B30" s="18" t="s">
        <v>34</v>
      </c>
      <c r="C30" s="19">
        <v>1640000</v>
      </c>
      <c r="D30" s="19">
        <v>3196233</v>
      </c>
      <c r="E30" s="20">
        <v>1700000</v>
      </c>
      <c r="F30" s="19"/>
      <c r="G30" s="19">
        <f>+E30-H30-I30</f>
        <v>550000</v>
      </c>
      <c r="H30" s="19">
        <v>980000</v>
      </c>
      <c r="I30" s="19">
        <v>170000</v>
      </c>
      <c r="J30" s="19">
        <f>SUM(K30:N30)</f>
        <v>2020000</v>
      </c>
      <c r="K30" s="19"/>
      <c r="L30" s="19">
        <v>606000</v>
      </c>
      <c r="M30" s="19">
        <v>1212000</v>
      </c>
      <c r="N30" s="19">
        <v>202000</v>
      </c>
      <c r="O30" s="65">
        <f t="shared" si="11"/>
        <v>1256128</v>
      </c>
      <c r="P30" s="19"/>
      <c r="Q30" s="19">
        <v>421976</v>
      </c>
      <c r="R30" s="19">
        <v>708539</v>
      </c>
      <c r="S30" s="20">
        <v>125613</v>
      </c>
      <c r="T30" s="20">
        <f>+U30+V30+W30+X30</f>
        <v>1802521</v>
      </c>
      <c r="U30" s="20"/>
      <c r="V30" s="20">
        <f>Sheet1!I12</f>
        <v>587188</v>
      </c>
      <c r="W30" s="20">
        <f>Sheet1!J12</f>
        <v>1035081</v>
      </c>
      <c r="X30" s="20">
        <f>Sheet1!K12</f>
        <v>180252</v>
      </c>
      <c r="Y30" s="20">
        <v>1000000</v>
      </c>
      <c r="Z30" s="20"/>
      <c r="AA30" s="20">
        <v>300000</v>
      </c>
      <c r="AB30" s="20">
        <v>600000</v>
      </c>
      <c r="AC30" s="20">
        <v>100000</v>
      </c>
      <c r="AD30" s="80"/>
      <c r="AE30" s="80"/>
      <c r="AF30" s="80"/>
      <c r="AG30" s="80"/>
      <c r="AH30" s="9">
        <f t="shared" si="20"/>
        <v>106.03064705882352</v>
      </c>
      <c r="AI30" s="9">
        <f t="shared" si="21"/>
        <v>89.233712871287125</v>
      </c>
      <c r="AJ30" s="62"/>
      <c r="AK30" s="62"/>
      <c r="AL30" s="62"/>
      <c r="AM30" s="62"/>
      <c r="AN30" s="19">
        <v>838678</v>
      </c>
      <c r="AP30" s="21"/>
      <c r="AQ30"/>
    </row>
    <row r="31" spans="1:44" ht="20.100000000000001" customHeight="1" x14ac:dyDescent="0.3">
      <c r="A31" s="17">
        <v>10</v>
      </c>
      <c r="B31" s="18" t="s">
        <v>35</v>
      </c>
      <c r="C31" s="19">
        <v>1650</v>
      </c>
      <c r="D31" s="19">
        <v>4455</v>
      </c>
      <c r="E31" s="20">
        <v>5500</v>
      </c>
      <c r="F31" s="19"/>
      <c r="G31" s="19"/>
      <c r="H31" s="19">
        <f>+E31</f>
        <v>5500</v>
      </c>
      <c r="I31" s="19"/>
      <c r="J31" s="19">
        <f>+E31</f>
        <v>5500</v>
      </c>
      <c r="K31" s="19"/>
      <c r="L31" s="19"/>
      <c r="M31" s="19">
        <f>+J31</f>
        <v>5500</v>
      </c>
      <c r="N31" s="19"/>
      <c r="O31" s="65">
        <f t="shared" si="11"/>
        <v>75207</v>
      </c>
      <c r="P31" s="19"/>
      <c r="Q31" s="19">
        <v>50545</v>
      </c>
      <c r="R31" s="19">
        <v>24662</v>
      </c>
      <c r="S31" s="20"/>
      <c r="T31" s="20">
        <f t="shared" si="12"/>
        <v>118499</v>
      </c>
      <c r="U31" s="26">
        <f t="shared" ref="U31:U34" si="44">+P31/5*6</f>
        <v>0</v>
      </c>
      <c r="V31" s="26">
        <f>Sheet1!I11</f>
        <v>80367</v>
      </c>
      <c r="W31" s="26">
        <f>Sheet1!J11</f>
        <v>38132</v>
      </c>
      <c r="X31" s="26">
        <f t="shared" ref="X31" si="45">+S31/5*6</f>
        <v>0</v>
      </c>
      <c r="Y31" s="20">
        <v>3000</v>
      </c>
      <c r="Z31" s="26">
        <f t="shared" ref="Z31:Z32" si="46">+U31/5*6</f>
        <v>0</v>
      </c>
      <c r="AA31" s="26">
        <f>Sheet1!N11</f>
        <v>0</v>
      </c>
      <c r="AB31" s="26">
        <v>3000</v>
      </c>
      <c r="AC31" s="26">
        <f t="shared" ref="AC31" si="47">+X31/5*6</f>
        <v>0</v>
      </c>
      <c r="AD31" s="79"/>
      <c r="AE31" s="79"/>
      <c r="AF31" s="79"/>
      <c r="AG31" s="79"/>
      <c r="AH31" s="9">
        <f t="shared" si="20"/>
        <v>2154.5272727272727</v>
      </c>
      <c r="AI31" s="9">
        <f t="shared" si="21"/>
        <v>2154.5272727272727</v>
      </c>
      <c r="AJ31" s="62"/>
      <c r="AK31" s="62"/>
      <c r="AL31" s="62"/>
      <c r="AM31" s="62"/>
      <c r="AN31" s="19">
        <v>387</v>
      </c>
      <c r="AP31" s="21"/>
      <c r="AQ31"/>
      <c r="AR31" s="21"/>
    </row>
    <row r="32" spans="1:44" ht="37.5" customHeight="1" x14ac:dyDescent="0.3">
      <c r="A32" s="17">
        <v>10</v>
      </c>
      <c r="B32" s="22" t="s">
        <v>36</v>
      </c>
      <c r="C32" s="19">
        <v>1375</v>
      </c>
      <c r="D32" s="19">
        <v>1325</v>
      </c>
      <c r="E32" s="20">
        <v>1426</v>
      </c>
      <c r="F32" s="19"/>
      <c r="G32" s="19"/>
      <c r="H32" s="19">
        <f>+E32*60%</f>
        <v>855.6</v>
      </c>
      <c r="I32" s="19">
        <f>+E32*40%</f>
        <v>570.4</v>
      </c>
      <c r="J32" s="20">
        <v>1426</v>
      </c>
      <c r="K32" s="19"/>
      <c r="L32" s="19"/>
      <c r="M32" s="19">
        <f>+J32*60%</f>
        <v>855.6</v>
      </c>
      <c r="N32" s="19">
        <f>+J32*40%</f>
        <v>570.4</v>
      </c>
      <c r="O32" s="65">
        <f t="shared" si="11"/>
        <v>1332</v>
      </c>
      <c r="P32" s="19"/>
      <c r="Q32" s="19"/>
      <c r="R32" s="19">
        <v>799</v>
      </c>
      <c r="S32" s="20">
        <v>533</v>
      </c>
      <c r="T32" s="20">
        <f t="shared" si="12"/>
        <v>1435</v>
      </c>
      <c r="U32" s="26">
        <f t="shared" si="44"/>
        <v>0</v>
      </c>
      <c r="V32" s="26">
        <f t="shared" ref="V32:V34" si="48">+Q32/5*6</f>
        <v>0</v>
      </c>
      <c r="W32" s="26">
        <f>Sheet1!J13</f>
        <v>861</v>
      </c>
      <c r="X32" s="26">
        <f>Sheet1!K13</f>
        <v>574</v>
      </c>
      <c r="Y32" s="20">
        <v>800</v>
      </c>
      <c r="Z32" s="26">
        <f t="shared" si="46"/>
        <v>0</v>
      </c>
      <c r="AA32" s="26">
        <f t="shared" ref="AA32" si="49">+V32/5*6</f>
        <v>0</v>
      </c>
      <c r="AB32" s="26">
        <f>+Y32*0.6</f>
        <v>480</v>
      </c>
      <c r="AC32" s="26">
        <f>+Y32*0.4</f>
        <v>320</v>
      </c>
      <c r="AD32" s="79"/>
      <c r="AE32" s="79"/>
      <c r="AF32" s="79"/>
      <c r="AG32" s="79"/>
      <c r="AH32" s="9">
        <f t="shared" si="20"/>
        <v>100.63113604488079</v>
      </c>
      <c r="AI32" s="9">
        <f t="shared" si="21"/>
        <v>100.63113604488079</v>
      </c>
      <c r="AJ32" s="62"/>
      <c r="AK32" s="62"/>
      <c r="AL32" s="62"/>
      <c r="AM32" s="62"/>
      <c r="AN32" s="19">
        <v>654</v>
      </c>
      <c r="AP32"/>
      <c r="AQ32"/>
    </row>
    <row r="33" spans="1:43" ht="20.100000000000001" customHeight="1" x14ac:dyDescent="0.3">
      <c r="A33" s="17">
        <v>11</v>
      </c>
      <c r="B33" s="18" t="s">
        <v>37</v>
      </c>
      <c r="C33" s="19">
        <v>16500</v>
      </c>
      <c r="D33" s="19">
        <v>33440</v>
      </c>
      <c r="E33" s="20">
        <v>18000</v>
      </c>
      <c r="F33" s="19">
        <v>9500</v>
      </c>
      <c r="G33" s="19"/>
      <c r="H33" s="19">
        <v>8500</v>
      </c>
      <c r="I33" s="19"/>
      <c r="J33" s="19">
        <v>18000</v>
      </c>
      <c r="K33" s="19">
        <v>9500</v>
      </c>
      <c r="L33" s="19"/>
      <c r="M33" s="19">
        <v>8500</v>
      </c>
      <c r="N33" s="19"/>
      <c r="O33" s="65">
        <f t="shared" si="11"/>
        <v>8291</v>
      </c>
      <c r="P33" s="19">
        <v>5224</v>
      </c>
      <c r="Q33" s="19">
        <v>1226</v>
      </c>
      <c r="R33" s="19">
        <v>1551</v>
      </c>
      <c r="S33" s="20">
        <v>290</v>
      </c>
      <c r="T33" s="20">
        <f t="shared" si="12"/>
        <v>32630</v>
      </c>
      <c r="U33" s="26">
        <f>Sheet1!H14</f>
        <v>7557</v>
      </c>
      <c r="V33" s="26">
        <f>Sheet1!I14</f>
        <v>1805</v>
      </c>
      <c r="W33" s="26">
        <f>Sheet1!J14</f>
        <v>22689</v>
      </c>
      <c r="X33" s="26">
        <f>Sheet1!K14</f>
        <v>579</v>
      </c>
      <c r="Y33" s="20">
        <v>23000</v>
      </c>
      <c r="Z33" s="26">
        <f>Sheet1!M14</f>
        <v>0</v>
      </c>
      <c r="AA33" s="26">
        <f>Sheet1!N14</f>
        <v>0</v>
      </c>
      <c r="AB33" s="26">
        <v>23000</v>
      </c>
      <c r="AC33" s="26">
        <f>Sheet1!P14</f>
        <v>0</v>
      </c>
      <c r="AD33" s="79"/>
      <c r="AE33" s="79"/>
      <c r="AF33" s="79"/>
      <c r="AG33" s="79"/>
      <c r="AH33" s="9">
        <f t="shared" si="20"/>
        <v>181.27777777777777</v>
      </c>
      <c r="AI33" s="9">
        <f t="shared" si="21"/>
        <v>181.27777777777777</v>
      </c>
      <c r="AJ33" s="62"/>
      <c r="AK33" s="62"/>
      <c r="AL33" s="62"/>
      <c r="AM33" s="62"/>
      <c r="AN33" s="19">
        <v>6308</v>
      </c>
      <c r="AP33"/>
      <c r="AQ33"/>
    </row>
    <row r="34" spans="1:43" ht="20.100000000000001" customHeight="1" x14ac:dyDescent="0.3">
      <c r="A34" s="17">
        <v>12</v>
      </c>
      <c r="B34" s="18" t="s">
        <v>38</v>
      </c>
      <c r="C34" s="19">
        <v>3500</v>
      </c>
      <c r="D34" s="19">
        <v>6391</v>
      </c>
      <c r="E34" s="20">
        <f>+F34+G34+H34+I34</f>
        <v>3600</v>
      </c>
      <c r="F34" s="19"/>
      <c r="G34" s="19"/>
      <c r="H34" s="19"/>
      <c r="I34" s="19">
        <v>3600</v>
      </c>
      <c r="J34" s="19">
        <f t="shared" si="43"/>
        <v>3600</v>
      </c>
      <c r="K34" s="19"/>
      <c r="L34" s="19"/>
      <c r="M34" s="19"/>
      <c r="N34" s="19">
        <v>3600</v>
      </c>
      <c r="O34" s="65">
        <f t="shared" si="11"/>
        <v>2984</v>
      </c>
      <c r="P34" s="19"/>
      <c r="Q34" s="19"/>
      <c r="R34" s="19"/>
      <c r="S34" s="20">
        <v>2984</v>
      </c>
      <c r="T34" s="20">
        <f t="shared" si="12"/>
        <v>5196</v>
      </c>
      <c r="U34" s="26">
        <f t="shared" si="44"/>
        <v>0</v>
      </c>
      <c r="V34" s="26">
        <f t="shared" si="48"/>
        <v>0</v>
      </c>
      <c r="W34" s="26">
        <f>+R34/5*6</f>
        <v>0</v>
      </c>
      <c r="X34" s="26">
        <f>Sheet1!K15</f>
        <v>5196</v>
      </c>
      <c r="Y34" s="20">
        <v>3600</v>
      </c>
      <c r="Z34" s="26">
        <f t="shared" ref="Z34" si="50">+U34/5*6</f>
        <v>0</v>
      </c>
      <c r="AA34" s="26">
        <f t="shared" ref="AA34" si="51">+V34/5*6</f>
        <v>0</v>
      </c>
      <c r="AB34" s="26">
        <f>+W34/5*6</f>
        <v>0</v>
      </c>
      <c r="AC34" s="26">
        <v>3600</v>
      </c>
      <c r="AD34" s="79"/>
      <c r="AE34" s="79"/>
      <c r="AF34" s="79"/>
      <c r="AG34" s="79"/>
      <c r="AH34" s="9">
        <f t="shared" si="20"/>
        <v>144.33333333333334</v>
      </c>
      <c r="AI34" s="9">
        <f t="shared" si="21"/>
        <v>144.33333333333334</v>
      </c>
      <c r="AJ34" s="62"/>
      <c r="AK34" s="62"/>
      <c r="AL34" s="62"/>
      <c r="AM34" s="62"/>
      <c r="AN34" s="19">
        <v>2809</v>
      </c>
      <c r="AP34"/>
      <c r="AQ34"/>
    </row>
    <row r="35" spans="1:43" ht="20.100000000000001" hidden="1" customHeight="1" x14ac:dyDescent="0.3">
      <c r="A35" s="17"/>
      <c r="B35" s="18" t="s">
        <v>163</v>
      </c>
      <c r="C35" s="19"/>
      <c r="D35" s="19"/>
      <c r="E35" s="20"/>
      <c r="F35" s="19"/>
      <c r="G35" s="19"/>
      <c r="H35" s="19"/>
      <c r="I35" s="19"/>
      <c r="J35" s="19"/>
      <c r="K35" s="19"/>
      <c r="L35" s="19"/>
      <c r="M35" s="19"/>
      <c r="N35" s="19"/>
      <c r="O35" s="19">
        <f t="shared" si="11"/>
        <v>6514</v>
      </c>
      <c r="P35" s="19"/>
      <c r="Q35" s="19"/>
      <c r="R35" s="19">
        <v>6314</v>
      </c>
      <c r="S35" s="20">
        <v>200</v>
      </c>
      <c r="T35" s="19">
        <f t="shared" si="12"/>
        <v>8514</v>
      </c>
      <c r="U35" s="20"/>
      <c r="V35" s="20"/>
      <c r="W35" s="20">
        <f>Sheet1!J16</f>
        <v>8314</v>
      </c>
      <c r="X35" s="20">
        <f>Sheet1!K16</f>
        <v>200</v>
      </c>
      <c r="Y35" s="19">
        <f t="shared" ref="Y35:Y39" si="52">+Z35+AA35+AB35+AC35</f>
        <v>0</v>
      </c>
      <c r="Z35" s="20"/>
      <c r="AA35" s="20"/>
      <c r="AB35" s="20">
        <f>Sheet1!O16</f>
        <v>0</v>
      </c>
      <c r="AC35" s="20">
        <f>Sheet1!P16</f>
        <v>0</v>
      </c>
      <c r="AD35" s="80"/>
      <c r="AE35" s="80"/>
      <c r="AF35" s="80"/>
      <c r="AG35" s="80"/>
      <c r="AH35" s="9"/>
      <c r="AI35" s="9"/>
      <c r="AJ35" s="62"/>
      <c r="AK35" s="62"/>
      <c r="AL35" s="62"/>
      <c r="AM35" s="62"/>
      <c r="AN35" s="19"/>
      <c r="AP35"/>
      <c r="AQ35"/>
    </row>
    <row r="36" spans="1:43" s="12" customFormat="1" ht="20.100000000000001" customHeight="1" x14ac:dyDescent="0.3">
      <c r="A36" s="13" t="s">
        <v>39</v>
      </c>
      <c r="B36" s="14" t="s">
        <v>40</v>
      </c>
      <c r="C36" s="16">
        <f>+C37+C38</f>
        <v>267815</v>
      </c>
      <c r="D36" s="16">
        <f>+D37+D38</f>
        <v>498814</v>
      </c>
      <c r="E36" s="15">
        <f>+E37+E38</f>
        <v>239144</v>
      </c>
      <c r="F36" s="16">
        <f t="shared" ref="F36:N36" si="53">+F37+F38</f>
        <v>0</v>
      </c>
      <c r="G36" s="16">
        <f t="shared" si="53"/>
        <v>0</v>
      </c>
      <c r="H36" s="16">
        <f t="shared" si="53"/>
        <v>180302</v>
      </c>
      <c r="I36" s="16">
        <f t="shared" si="53"/>
        <v>58842</v>
      </c>
      <c r="J36" s="16">
        <f t="shared" si="53"/>
        <v>241360</v>
      </c>
      <c r="K36" s="16">
        <f t="shared" si="53"/>
        <v>0</v>
      </c>
      <c r="L36" s="16">
        <f t="shared" si="53"/>
        <v>0</v>
      </c>
      <c r="M36" s="16">
        <f t="shared" si="53"/>
        <v>180302</v>
      </c>
      <c r="N36" s="16">
        <f t="shared" si="53"/>
        <v>61058</v>
      </c>
      <c r="O36" s="19">
        <f t="shared" si="11"/>
        <v>187389</v>
      </c>
      <c r="P36" s="16"/>
      <c r="Q36" s="16">
        <f t="shared" ref="Q36:S36" si="54">+Q37+Q38</f>
        <v>0</v>
      </c>
      <c r="R36" s="16">
        <f t="shared" si="54"/>
        <v>161005</v>
      </c>
      <c r="S36" s="15">
        <f t="shared" si="54"/>
        <v>26384</v>
      </c>
      <c r="T36" s="19">
        <f t="shared" si="12"/>
        <v>254617</v>
      </c>
      <c r="U36" s="15"/>
      <c r="V36" s="15">
        <f t="shared" ref="V36:X36" si="55">+V37+V38</f>
        <v>0</v>
      </c>
      <c r="W36" s="15">
        <f t="shared" si="55"/>
        <v>205288</v>
      </c>
      <c r="X36" s="15">
        <f t="shared" si="55"/>
        <v>49329</v>
      </c>
      <c r="Y36" s="19">
        <f t="shared" si="52"/>
        <v>115613.5</v>
      </c>
      <c r="Z36" s="15"/>
      <c r="AA36" s="15">
        <f t="shared" ref="AA36:AC36" si="56">+AA37+AA38</f>
        <v>0</v>
      </c>
      <c r="AB36" s="15">
        <f t="shared" si="56"/>
        <v>74040.5</v>
      </c>
      <c r="AC36" s="15">
        <f t="shared" si="56"/>
        <v>41573</v>
      </c>
      <c r="AD36" s="15"/>
      <c r="AE36" s="15"/>
      <c r="AF36" s="15"/>
      <c r="AG36" s="15"/>
      <c r="AH36" s="24">
        <f t="shared" ref="AH36:AH38" si="57">+O36/E36*100</f>
        <v>78.358227678720766</v>
      </c>
      <c r="AI36" s="24">
        <f t="shared" ref="AI36:AI38" si="58">+O36/J36*100</f>
        <v>77.638796818031153</v>
      </c>
      <c r="AJ36" s="24"/>
      <c r="AK36" s="24"/>
      <c r="AL36" s="24"/>
      <c r="AM36" s="24"/>
      <c r="AN36" s="16">
        <f t="shared" ref="AN36" si="59">+AN37+AN38</f>
        <v>72061</v>
      </c>
      <c r="AO36" s="10"/>
    </row>
    <row r="37" spans="1:43" ht="20.100000000000001" customHeight="1" x14ac:dyDescent="0.3">
      <c r="A37" s="17">
        <v>1</v>
      </c>
      <c r="B37" s="18" t="s">
        <v>41</v>
      </c>
      <c r="C37" s="19">
        <v>237923</v>
      </c>
      <c r="D37" s="19">
        <v>294968</v>
      </c>
      <c r="E37" s="20">
        <f>+F37+G37+H37+I37</f>
        <v>211336</v>
      </c>
      <c r="F37" s="19"/>
      <c r="G37" s="19"/>
      <c r="H37" s="19">
        <v>157104</v>
      </c>
      <c r="I37" s="19">
        <v>54232</v>
      </c>
      <c r="J37" s="19">
        <f>+K37+L37+M37+N37</f>
        <v>213552</v>
      </c>
      <c r="K37" s="19"/>
      <c r="L37" s="19"/>
      <c r="M37" s="19">
        <f>+H37</f>
        <v>157104</v>
      </c>
      <c r="N37" s="19">
        <v>56448</v>
      </c>
      <c r="O37" s="19">
        <f t="shared" si="11"/>
        <v>101394</v>
      </c>
      <c r="P37" s="19"/>
      <c r="Q37" s="19"/>
      <c r="R37" s="19">
        <v>80000</v>
      </c>
      <c r="S37" s="20">
        <v>21394</v>
      </c>
      <c r="T37" s="19">
        <f t="shared" si="12"/>
        <v>150296</v>
      </c>
      <c r="U37" s="20"/>
      <c r="V37" s="20"/>
      <c r="W37" s="20">
        <v>120000</v>
      </c>
      <c r="X37" s="20">
        <v>30296</v>
      </c>
      <c r="Y37" s="19">
        <f t="shared" si="52"/>
        <v>77712.5</v>
      </c>
      <c r="Z37" s="20"/>
      <c r="AA37" s="20"/>
      <c r="AB37" s="20">
        <v>43227.5</v>
      </c>
      <c r="AC37" s="20">
        <v>34485</v>
      </c>
      <c r="AD37" s="20"/>
      <c r="AE37" s="20"/>
      <c r="AF37" s="20"/>
      <c r="AG37" s="20"/>
      <c r="AH37" s="24">
        <f>+O37/E37*100</f>
        <v>47.977628042548361</v>
      </c>
      <c r="AI37" s="24">
        <f t="shared" si="58"/>
        <v>47.479770734996627</v>
      </c>
      <c r="AJ37" s="24"/>
      <c r="AK37" s="24"/>
      <c r="AL37" s="24"/>
      <c r="AM37" s="24"/>
      <c r="AN37" s="19">
        <v>63534</v>
      </c>
      <c r="AP37"/>
      <c r="AQ37"/>
    </row>
    <row r="38" spans="1:43" ht="20.100000000000001" customHeight="1" x14ac:dyDescent="0.3">
      <c r="A38" s="17">
        <v>2</v>
      </c>
      <c r="B38" s="18" t="s">
        <v>42</v>
      </c>
      <c r="C38" s="19">
        <v>29892</v>
      </c>
      <c r="D38" s="19">
        <v>203846</v>
      </c>
      <c r="E38" s="20">
        <f>+F38+G38+H38+I38</f>
        <v>27808</v>
      </c>
      <c r="F38" s="19"/>
      <c r="G38" s="19"/>
      <c r="H38" s="19">
        <v>23198</v>
      </c>
      <c r="I38" s="19">
        <v>4610</v>
      </c>
      <c r="J38" s="19">
        <f>+K38+L38+M38+N38</f>
        <v>27808</v>
      </c>
      <c r="K38" s="19"/>
      <c r="L38" s="19"/>
      <c r="M38" s="19">
        <f>+H38</f>
        <v>23198</v>
      </c>
      <c r="N38" s="19">
        <v>4610</v>
      </c>
      <c r="O38" s="19">
        <f t="shared" si="11"/>
        <v>85995</v>
      </c>
      <c r="P38" s="19"/>
      <c r="Q38" s="19"/>
      <c r="R38" s="19">
        <v>81005</v>
      </c>
      <c r="S38" s="20">
        <v>4990</v>
      </c>
      <c r="T38" s="19">
        <f t="shared" si="12"/>
        <v>104321</v>
      </c>
      <c r="U38" s="20"/>
      <c r="V38" s="20"/>
      <c r="W38" s="20">
        <v>85288</v>
      </c>
      <c r="X38" s="20">
        <v>19033</v>
      </c>
      <c r="Y38" s="19">
        <f t="shared" si="52"/>
        <v>37901</v>
      </c>
      <c r="Z38" s="20"/>
      <c r="AA38" s="20"/>
      <c r="AB38" s="20">
        <v>30813</v>
      </c>
      <c r="AC38" s="20">
        <v>7088</v>
      </c>
      <c r="AD38" s="73"/>
      <c r="AE38" s="73"/>
      <c r="AF38" s="73"/>
      <c r="AG38" s="73"/>
      <c r="AH38" s="31">
        <f t="shared" si="57"/>
        <v>309.24554085155347</v>
      </c>
      <c r="AI38" s="31">
        <f t="shared" si="58"/>
        <v>309.24554085155347</v>
      </c>
      <c r="AJ38" s="88"/>
      <c r="AK38" s="88"/>
      <c r="AL38" s="88"/>
      <c r="AM38" s="88"/>
      <c r="AN38" s="19">
        <v>8527</v>
      </c>
      <c r="AP38"/>
      <c r="AQ38"/>
    </row>
    <row r="39" spans="1:43" s="56" customFormat="1" ht="20.100000000000001" customHeight="1" x14ac:dyDescent="0.3">
      <c r="A39" s="50" t="s">
        <v>92</v>
      </c>
      <c r="B39" s="51" t="s">
        <v>160</v>
      </c>
      <c r="C39" s="52"/>
      <c r="D39" s="52"/>
      <c r="E39" s="53"/>
      <c r="F39" s="52"/>
      <c r="G39" s="52"/>
      <c r="H39" s="52"/>
      <c r="I39" s="52"/>
      <c r="J39" s="52"/>
      <c r="K39" s="52"/>
      <c r="L39" s="52"/>
      <c r="M39" s="52"/>
      <c r="N39" s="52"/>
      <c r="O39" s="19">
        <f t="shared" si="11"/>
        <v>141293</v>
      </c>
      <c r="P39" s="52"/>
      <c r="Q39" s="52"/>
      <c r="R39" s="52"/>
      <c r="S39" s="53">
        <v>141293</v>
      </c>
      <c r="T39" s="19">
        <f t="shared" si="12"/>
        <v>0</v>
      </c>
      <c r="U39" s="53"/>
      <c r="V39" s="53"/>
      <c r="W39" s="53"/>
      <c r="X39" s="53">
        <v>0</v>
      </c>
      <c r="Y39" s="19">
        <f t="shared" si="52"/>
        <v>0</v>
      </c>
      <c r="Z39" s="53"/>
      <c r="AA39" s="53"/>
      <c r="AB39" s="53"/>
      <c r="AC39" s="53">
        <v>0</v>
      </c>
      <c r="AD39" s="81"/>
      <c r="AE39" s="81"/>
      <c r="AF39" s="81"/>
      <c r="AG39" s="81"/>
      <c r="AH39" s="54"/>
      <c r="AI39" s="54"/>
      <c r="AJ39" s="54"/>
      <c r="AK39" s="54"/>
      <c r="AL39" s="54"/>
      <c r="AM39" s="54"/>
      <c r="AN39" s="52"/>
      <c r="AO39" s="55"/>
    </row>
  </sheetData>
  <mergeCells count="13">
    <mergeCell ref="S4:AH4"/>
    <mergeCell ref="A2:AI2"/>
    <mergeCell ref="A5:A6"/>
    <mergeCell ref="B5:B6"/>
    <mergeCell ref="C5:C6"/>
    <mergeCell ref="D5:D6"/>
    <mergeCell ref="E5:I5"/>
    <mergeCell ref="J5:N5"/>
    <mergeCell ref="O5:S5"/>
    <mergeCell ref="AH5:AI5"/>
    <mergeCell ref="T5:X5"/>
    <mergeCell ref="Y5:AC5"/>
    <mergeCell ref="AD6:AH6"/>
  </mergeCells>
  <pageMargins left="0.45" right="0.2" top="0.5" bottom="0.25" header="0.3" footer="0.3"/>
  <pageSetup paperSize="9" scale="51" fitToHeight="0" orientation="landscape" verticalDpi="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workbookViewId="0">
      <selection activeCell="F17" sqref="F17"/>
    </sheetView>
  </sheetViews>
  <sheetFormatPr defaultRowHeight="15.6" x14ac:dyDescent="0.3"/>
  <cols>
    <col min="1" max="1" width="21.3984375" bestFit="1" customWidth="1"/>
    <col min="6" max="6" width="41.19921875" customWidth="1"/>
  </cols>
  <sheetData>
    <row r="2" spans="1:11" x14ac:dyDescent="0.3">
      <c r="B2" s="23" t="s">
        <v>168</v>
      </c>
      <c r="C2" s="23" t="s">
        <v>169</v>
      </c>
      <c r="D2" s="23" t="s">
        <v>170</v>
      </c>
      <c r="E2" s="23"/>
      <c r="F2" s="23"/>
      <c r="G2" s="23" t="s">
        <v>171</v>
      </c>
      <c r="H2" s="23" t="s">
        <v>173</v>
      </c>
      <c r="I2" s="23" t="s">
        <v>172</v>
      </c>
      <c r="J2" s="23" t="s">
        <v>169</v>
      </c>
      <c r="K2" s="23" t="s">
        <v>170</v>
      </c>
    </row>
    <row r="3" spans="1:11" ht="31.2" x14ac:dyDescent="0.3">
      <c r="A3" t="str">
        <f>'Tổng chi'!B25</f>
        <v>Quốc phòng</v>
      </c>
      <c r="B3" s="35">
        <v>1</v>
      </c>
      <c r="C3" s="46">
        <v>7569</v>
      </c>
      <c r="D3" s="46">
        <v>4783</v>
      </c>
      <c r="F3" s="30" t="s">
        <v>175</v>
      </c>
      <c r="G3" s="35">
        <v>1</v>
      </c>
      <c r="I3">
        <v>136</v>
      </c>
      <c r="J3">
        <v>60</v>
      </c>
    </row>
    <row r="4" spans="1:11" ht="31.2" x14ac:dyDescent="0.3">
      <c r="A4" t="str">
        <f>'Tổng chi'!B26</f>
        <v>An ninh</v>
      </c>
      <c r="B4" s="35">
        <v>2</v>
      </c>
      <c r="C4" s="46">
        <v>1426</v>
      </c>
      <c r="D4" s="46">
        <v>336</v>
      </c>
      <c r="F4" s="74" t="s">
        <v>176</v>
      </c>
      <c r="G4" s="35">
        <v>2</v>
      </c>
      <c r="I4">
        <v>1339</v>
      </c>
    </row>
    <row r="5" spans="1:11" x14ac:dyDescent="0.3">
      <c r="A5" t="str">
        <f>'Tổng chi'!B32</f>
        <v>Sự nghiệp giáo dục, đào tạo</v>
      </c>
      <c r="B5" s="35">
        <v>3</v>
      </c>
      <c r="C5" s="46">
        <v>169555</v>
      </c>
      <c r="D5" s="46">
        <v>127</v>
      </c>
      <c r="F5" t="s">
        <v>15</v>
      </c>
      <c r="G5" s="35">
        <v>3</v>
      </c>
      <c r="I5">
        <v>21</v>
      </c>
      <c r="J5">
        <v>182600</v>
      </c>
      <c r="K5">
        <v>2888</v>
      </c>
    </row>
    <row r="6" spans="1:11" x14ac:dyDescent="0.3">
      <c r="B6" s="35">
        <v>4</v>
      </c>
      <c r="C6" s="46"/>
      <c r="D6" s="46"/>
      <c r="F6" t="s">
        <v>24</v>
      </c>
      <c r="G6" s="35">
        <v>4</v>
      </c>
      <c r="I6">
        <v>5539</v>
      </c>
      <c r="J6">
        <v>25338</v>
      </c>
      <c r="K6">
        <v>26326</v>
      </c>
    </row>
    <row r="7" spans="1:11" x14ac:dyDescent="0.3">
      <c r="A7" t="str">
        <f>'Tổng chi'!B30</f>
        <v>Sự nghiệp y tế</v>
      </c>
      <c r="B7" s="35">
        <v>5</v>
      </c>
      <c r="C7" s="46">
        <v>8445</v>
      </c>
      <c r="D7" s="46">
        <v>1767</v>
      </c>
      <c r="F7" t="s">
        <v>102</v>
      </c>
      <c r="G7" s="35">
        <v>5</v>
      </c>
      <c r="H7">
        <v>21821</v>
      </c>
      <c r="I7">
        <v>20142</v>
      </c>
    </row>
    <row r="8" spans="1:11" x14ac:dyDescent="0.3">
      <c r="A8" t="str">
        <f>'Tổng chi'!B27</f>
        <v>Sự nghiệp văn hóa</v>
      </c>
      <c r="B8" s="35">
        <v>6</v>
      </c>
      <c r="C8" s="46">
        <v>1241</v>
      </c>
      <c r="D8" s="46">
        <v>559</v>
      </c>
      <c r="F8" t="s">
        <v>27</v>
      </c>
      <c r="G8" s="35">
        <v>6</v>
      </c>
      <c r="J8">
        <v>51930</v>
      </c>
      <c r="K8">
        <v>14269</v>
      </c>
    </row>
    <row r="9" spans="1:11" x14ac:dyDescent="0.3">
      <c r="A9" t="str">
        <f>'Tổng chi'!B28</f>
        <v>Sự nghiệp phát thanh</v>
      </c>
      <c r="B9" s="35">
        <v>7</v>
      </c>
      <c r="C9" s="46">
        <v>611</v>
      </c>
      <c r="D9" s="46">
        <v>179</v>
      </c>
      <c r="F9" t="s">
        <v>30</v>
      </c>
      <c r="G9" s="35">
        <v>7</v>
      </c>
      <c r="H9">
        <v>1023</v>
      </c>
      <c r="I9">
        <v>1327</v>
      </c>
      <c r="J9">
        <v>1681</v>
      </c>
      <c r="K9">
        <v>5778</v>
      </c>
    </row>
    <row r="10" spans="1:11" x14ac:dyDescent="0.3">
      <c r="A10" t="str">
        <f>'Tổng chi'!B29</f>
        <v>Sự nghiệp thể dục thể thao</v>
      </c>
      <c r="B10" s="35">
        <v>8</v>
      </c>
      <c r="C10" s="46">
        <v>818</v>
      </c>
      <c r="D10" s="46">
        <v>745</v>
      </c>
      <c r="F10" t="s">
        <v>33</v>
      </c>
      <c r="G10" s="35">
        <v>8.1999999999999993</v>
      </c>
      <c r="K10">
        <v>718</v>
      </c>
    </row>
    <row r="11" spans="1:11" x14ac:dyDescent="0.3">
      <c r="A11" t="str">
        <f>'Tổng chi'!B46</f>
        <v>Sự nghiệp môi trường</v>
      </c>
      <c r="B11" s="35">
        <v>9</v>
      </c>
      <c r="C11" s="46">
        <v>3668</v>
      </c>
      <c r="D11" s="46">
        <v>466</v>
      </c>
      <c r="F11" t="s">
        <v>177</v>
      </c>
      <c r="G11" s="35">
        <v>8.3000000000000007</v>
      </c>
      <c r="I11">
        <v>80367</v>
      </c>
      <c r="J11">
        <v>38132</v>
      </c>
    </row>
    <row r="12" spans="1:11" x14ac:dyDescent="0.3">
      <c r="A12" t="str">
        <f>'Tổng chi'!B34</f>
        <v>Sự nghiệp kinh tế</v>
      </c>
      <c r="B12" s="35">
        <v>10</v>
      </c>
      <c r="C12" s="46">
        <v>18130</v>
      </c>
      <c r="D12" s="46">
        <v>883</v>
      </c>
      <c r="F12" t="s">
        <v>34</v>
      </c>
      <c r="G12" s="35">
        <v>8.4</v>
      </c>
      <c r="I12">
        <v>587188</v>
      </c>
      <c r="J12">
        <v>1035081</v>
      </c>
      <c r="K12">
        <v>180252</v>
      </c>
    </row>
    <row r="13" spans="1:11" x14ac:dyDescent="0.3">
      <c r="A13" t="str">
        <f>'Tổng chi'!B15</f>
        <v>Chi quản lý hành chính</v>
      </c>
      <c r="B13" s="35">
        <v>11</v>
      </c>
      <c r="C13" s="46">
        <v>20421</v>
      </c>
      <c r="D13" s="46">
        <v>44509</v>
      </c>
      <c r="F13" t="s">
        <v>36</v>
      </c>
      <c r="G13" s="35">
        <v>10</v>
      </c>
      <c r="J13">
        <v>861</v>
      </c>
      <c r="K13">
        <v>574</v>
      </c>
    </row>
    <row r="14" spans="1:11" x14ac:dyDescent="0.3">
      <c r="A14" t="str">
        <f>'Tổng chi'!B33</f>
        <v>Đảm bảo xã hội</v>
      </c>
      <c r="B14" s="35">
        <v>12</v>
      </c>
      <c r="C14" s="46">
        <v>119681</v>
      </c>
      <c r="D14" s="46">
        <v>11647</v>
      </c>
      <c r="F14" t="s">
        <v>178</v>
      </c>
      <c r="G14" s="35">
        <v>11</v>
      </c>
      <c r="H14">
        <v>7557</v>
      </c>
      <c r="I14">
        <v>1805</v>
      </c>
      <c r="J14">
        <v>22689</v>
      </c>
      <c r="K14">
        <v>579</v>
      </c>
    </row>
    <row r="15" spans="1:11" x14ac:dyDescent="0.3">
      <c r="A15" t="str">
        <f>'Tổng chi'!B47</f>
        <v>Chi khác</v>
      </c>
      <c r="B15" s="35" t="s">
        <v>174</v>
      </c>
      <c r="C15" s="46">
        <v>2523</v>
      </c>
      <c r="D15" s="46">
        <v>117</v>
      </c>
      <c r="F15" t="s">
        <v>179</v>
      </c>
      <c r="G15" s="35">
        <v>12</v>
      </c>
      <c r="K15">
        <v>5196</v>
      </c>
    </row>
    <row r="16" spans="1:11" x14ac:dyDescent="0.3">
      <c r="F16" t="s">
        <v>163</v>
      </c>
      <c r="G16" s="35" t="s">
        <v>180</v>
      </c>
      <c r="J16">
        <v>8314</v>
      </c>
      <c r="K16">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2" zoomScale="115" zoomScaleNormal="100" zoomScaleSheetLayoutView="115" workbookViewId="0">
      <selection activeCell="B14" sqref="B14"/>
    </sheetView>
  </sheetViews>
  <sheetFormatPr defaultRowHeight="18" x14ac:dyDescent="0.35"/>
  <cols>
    <col min="1" max="1" width="6.69921875" style="324" customWidth="1"/>
    <col min="2" max="2" width="57.5" style="323" customWidth="1"/>
    <col min="3" max="3" width="16.3984375" style="339" customWidth="1"/>
    <col min="4" max="4" width="12.19921875" style="233" hidden="1" customWidth="1"/>
    <col min="5" max="8" width="0" style="233" hidden="1" customWidth="1"/>
    <col min="9" max="9" width="12.19921875" style="233" hidden="1" customWidth="1"/>
    <col min="10" max="26" width="0" style="233" hidden="1" customWidth="1"/>
    <col min="27" max="256" width="8.69921875" style="233"/>
    <col min="257" max="257" width="6.69921875" style="233" customWidth="1"/>
    <col min="258" max="258" width="60.19921875" style="233" customWidth="1"/>
    <col min="259" max="259" width="16.3984375" style="233" customWidth="1"/>
    <col min="260" max="512" width="8.69921875" style="233"/>
    <col min="513" max="513" width="6.69921875" style="233" customWidth="1"/>
    <col min="514" max="514" width="60.19921875" style="233" customWidth="1"/>
    <col min="515" max="515" width="16.3984375" style="233" customWidth="1"/>
    <col min="516" max="768" width="8.69921875" style="233"/>
    <col min="769" max="769" width="6.69921875" style="233" customWidth="1"/>
    <col min="770" max="770" width="60.19921875" style="233" customWidth="1"/>
    <col min="771" max="771" width="16.3984375" style="233" customWidth="1"/>
    <col min="772" max="1024" width="8.69921875" style="233"/>
    <col min="1025" max="1025" width="6.69921875" style="233" customWidth="1"/>
    <col min="1026" max="1026" width="60.19921875" style="233" customWidth="1"/>
    <col min="1027" max="1027" width="16.3984375" style="233" customWidth="1"/>
    <col min="1028" max="1280" width="8.69921875" style="233"/>
    <col min="1281" max="1281" width="6.69921875" style="233" customWidth="1"/>
    <col min="1282" max="1282" width="60.19921875" style="233" customWidth="1"/>
    <col min="1283" max="1283" width="16.3984375" style="233" customWidth="1"/>
    <col min="1284" max="1536" width="8.69921875" style="233"/>
    <col min="1537" max="1537" width="6.69921875" style="233" customWidth="1"/>
    <col min="1538" max="1538" width="60.19921875" style="233" customWidth="1"/>
    <col min="1539" max="1539" width="16.3984375" style="233" customWidth="1"/>
    <col min="1540" max="1792" width="8.69921875" style="233"/>
    <col min="1793" max="1793" width="6.69921875" style="233" customWidth="1"/>
    <col min="1794" max="1794" width="60.19921875" style="233" customWidth="1"/>
    <col min="1795" max="1795" width="16.3984375" style="233" customWidth="1"/>
    <col min="1796" max="2048" width="8.69921875" style="233"/>
    <col min="2049" max="2049" width="6.69921875" style="233" customWidth="1"/>
    <col min="2050" max="2050" width="60.19921875" style="233" customWidth="1"/>
    <col min="2051" max="2051" width="16.3984375" style="233" customWidth="1"/>
    <col min="2052" max="2304" width="8.69921875" style="233"/>
    <col min="2305" max="2305" width="6.69921875" style="233" customWidth="1"/>
    <col min="2306" max="2306" width="60.19921875" style="233" customWidth="1"/>
    <col min="2307" max="2307" width="16.3984375" style="233" customWidth="1"/>
    <col min="2308" max="2560" width="8.69921875" style="233"/>
    <col min="2561" max="2561" width="6.69921875" style="233" customWidth="1"/>
    <col min="2562" max="2562" width="60.19921875" style="233" customWidth="1"/>
    <col min="2563" max="2563" width="16.3984375" style="233" customWidth="1"/>
    <col min="2564" max="2816" width="8.69921875" style="233"/>
    <col min="2817" max="2817" width="6.69921875" style="233" customWidth="1"/>
    <col min="2818" max="2818" width="60.19921875" style="233" customWidth="1"/>
    <col min="2819" max="2819" width="16.3984375" style="233" customWidth="1"/>
    <col min="2820" max="3072" width="8.69921875" style="233"/>
    <col min="3073" max="3073" width="6.69921875" style="233" customWidth="1"/>
    <col min="3074" max="3074" width="60.19921875" style="233" customWidth="1"/>
    <col min="3075" max="3075" width="16.3984375" style="233" customWidth="1"/>
    <col min="3076" max="3328" width="8.69921875" style="233"/>
    <col min="3329" max="3329" width="6.69921875" style="233" customWidth="1"/>
    <col min="3330" max="3330" width="60.19921875" style="233" customWidth="1"/>
    <col min="3331" max="3331" width="16.3984375" style="233" customWidth="1"/>
    <col min="3332" max="3584" width="8.69921875" style="233"/>
    <col min="3585" max="3585" width="6.69921875" style="233" customWidth="1"/>
    <col min="3586" max="3586" width="60.19921875" style="233" customWidth="1"/>
    <col min="3587" max="3587" width="16.3984375" style="233" customWidth="1"/>
    <col min="3588" max="3840" width="8.69921875" style="233"/>
    <col min="3841" max="3841" width="6.69921875" style="233" customWidth="1"/>
    <col min="3842" max="3842" width="60.19921875" style="233" customWidth="1"/>
    <col min="3843" max="3843" width="16.3984375" style="233" customWidth="1"/>
    <col min="3844" max="4096" width="8.69921875" style="233"/>
    <col min="4097" max="4097" width="6.69921875" style="233" customWidth="1"/>
    <col min="4098" max="4098" width="60.19921875" style="233" customWidth="1"/>
    <col min="4099" max="4099" width="16.3984375" style="233" customWidth="1"/>
    <col min="4100" max="4352" width="8.69921875" style="233"/>
    <col min="4353" max="4353" width="6.69921875" style="233" customWidth="1"/>
    <col min="4354" max="4354" width="60.19921875" style="233" customWidth="1"/>
    <col min="4355" max="4355" width="16.3984375" style="233" customWidth="1"/>
    <col min="4356" max="4608" width="8.69921875" style="233"/>
    <col min="4609" max="4609" width="6.69921875" style="233" customWidth="1"/>
    <col min="4610" max="4610" width="60.19921875" style="233" customWidth="1"/>
    <col min="4611" max="4611" width="16.3984375" style="233" customWidth="1"/>
    <col min="4612" max="4864" width="8.69921875" style="233"/>
    <col min="4865" max="4865" width="6.69921875" style="233" customWidth="1"/>
    <col min="4866" max="4866" width="60.19921875" style="233" customWidth="1"/>
    <col min="4867" max="4867" width="16.3984375" style="233" customWidth="1"/>
    <col min="4868" max="5120" width="8.69921875" style="233"/>
    <col min="5121" max="5121" width="6.69921875" style="233" customWidth="1"/>
    <col min="5122" max="5122" width="60.19921875" style="233" customWidth="1"/>
    <col min="5123" max="5123" width="16.3984375" style="233" customWidth="1"/>
    <col min="5124" max="5376" width="8.69921875" style="233"/>
    <col min="5377" max="5377" width="6.69921875" style="233" customWidth="1"/>
    <col min="5378" max="5378" width="60.19921875" style="233" customWidth="1"/>
    <col min="5379" max="5379" width="16.3984375" style="233" customWidth="1"/>
    <col min="5380" max="5632" width="8.69921875" style="233"/>
    <col min="5633" max="5633" width="6.69921875" style="233" customWidth="1"/>
    <col min="5634" max="5634" width="60.19921875" style="233" customWidth="1"/>
    <col min="5635" max="5635" width="16.3984375" style="233" customWidth="1"/>
    <col min="5636" max="5888" width="8.69921875" style="233"/>
    <col min="5889" max="5889" width="6.69921875" style="233" customWidth="1"/>
    <col min="5890" max="5890" width="60.19921875" style="233" customWidth="1"/>
    <col min="5891" max="5891" width="16.3984375" style="233" customWidth="1"/>
    <col min="5892" max="6144" width="8.69921875" style="233"/>
    <col min="6145" max="6145" width="6.69921875" style="233" customWidth="1"/>
    <col min="6146" max="6146" width="60.19921875" style="233" customWidth="1"/>
    <col min="6147" max="6147" width="16.3984375" style="233" customWidth="1"/>
    <col min="6148" max="6400" width="8.69921875" style="233"/>
    <col min="6401" max="6401" width="6.69921875" style="233" customWidth="1"/>
    <col min="6402" max="6402" width="60.19921875" style="233" customWidth="1"/>
    <col min="6403" max="6403" width="16.3984375" style="233" customWidth="1"/>
    <col min="6404" max="6656" width="8.69921875" style="233"/>
    <col min="6657" max="6657" width="6.69921875" style="233" customWidth="1"/>
    <col min="6658" max="6658" width="60.19921875" style="233" customWidth="1"/>
    <col min="6659" max="6659" width="16.3984375" style="233" customWidth="1"/>
    <col min="6660" max="6912" width="8.69921875" style="233"/>
    <col min="6913" max="6913" width="6.69921875" style="233" customWidth="1"/>
    <col min="6914" max="6914" width="60.19921875" style="233" customWidth="1"/>
    <col min="6915" max="6915" width="16.3984375" style="233" customWidth="1"/>
    <col min="6916" max="7168" width="8.69921875" style="233"/>
    <col min="7169" max="7169" width="6.69921875" style="233" customWidth="1"/>
    <col min="7170" max="7170" width="60.19921875" style="233" customWidth="1"/>
    <col min="7171" max="7171" width="16.3984375" style="233" customWidth="1"/>
    <col min="7172" max="7424" width="8.69921875" style="233"/>
    <col min="7425" max="7425" width="6.69921875" style="233" customWidth="1"/>
    <col min="7426" max="7426" width="60.19921875" style="233" customWidth="1"/>
    <col min="7427" max="7427" width="16.3984375" style="233" customWidth="1"/>
    <col min="7428" max="7680" width="8.69921875" style="233"/>
    <col min="7681" max="7681" width="6.69921875" style="233" customWidth="1"/>
    <col min="7682" max="7682" width="60.19921875" style="233" customWidth="1"/>
    <col min="7683" max="7683" width="16.3984375" style="233" customWidth="1"/>
    <col min="7684" max="7936" width="8.69921875" style="233"/>
    <col min="7937" max="7937" width="6.69921875" style="233" customWidth="1"/>
    <col min="7938" max="7938" width="60.19921875" style="233" customWidth="1"/>
    <col min="7939" max="7939" width="16.3984375" style="233" customWidth="1"/>
    <col min="7940" max="8192" width="8.69921875" style="233"/>
    <col min="8193" max="8193" width="6.69921875" style="233" customWidth="1"/>
    <col min="8194" max="8194" width="60.19921875" style="233" customWidth="1"/>
    <col min="8195" max="8195" width="16.3984375" style="233" customWidth="1"/>
    <col min="8196" max="8448" width="8.69921875" style="233"/>
    <col min="8449" max="8449" width="6.69921875" style="233" customWidth="1"/>
    <col min="8450" max="8450" width="60.19921875" style="233" customWidth="1"/>
    <col min="8451" max="8451" width="16.3984375" style="233" customWidth="1"/>
    <col min="8452" max="8704" width="8.69921875" style="233"/>
    <col min="8705" max="8705" width="6.69921875" style="233" customWidth="1"/>
    <col min="8706" max="8706" width="60.19921875" style="233" customWidth="1"/>
    <col min="8707" max="8707" width="16.3984375" style="233" customWidth="1"/>
    <col min="8708" max="8960" width="8.69921875" style="233"/>
    <col min="8961" max="8961" width="6.69921875" style="233" customWidth="1"/>
    <col min="8962" max="8962" width="60.19921875" style="233" customWidth="1"/>
    <col min="8963" max="8963" width="16.3984375" style="233" customWidth="1"/>
    <col min="8964" max="9216" width="8.69921875" style="233"/>
    <col min="9217" max="9217" width="6.69921875" style="233" customWidth="1"/>
    <col min="9218" max="9218" width="60.19921875" style="233" customWidth="1"/>
    <col min="9219" max="9219" width="16.3984375" style="233" customWidth="1"/>
    <col min="9220" max="9472" width="8.69921875" style="233"/>
    <col min="9473" max="9473" width="6.69921875" style="233" customWidth="1"/>
    <col min="9474" max="9474" width="60.19921875" style="233" customWidth="1"/>
    <col min="9475" max="9475" width="16.3984375" style="233" customWidth="1"/>
    <col min="9476" max="9728" width="8.69921875" style="233"/>
    <col min="9729" max="9729" width="6.69921875" style="233" customWidth="1"/>
    <col min="9730" max="9730" width="60.19921875" style="233" customWidth="1"/>
    <col min="9731" max="9731" width="16.3984375" style="233" customWidth="1"/>
    <col min="9732" max="9984" width="8.69921875" style="233"/>
    <col min="9985" max="9985" width="6.69921875" style="233" customWidth="1"/>
    <col min="9986" max="9986" width="60.19921875" style="233" customWidth="1"/>
    <col min="9987" max="9987" width="16.3984375" style="233" customWidth="1"/>
    <col min="9988" max="10240" width="8.69921875" style="233"/>
    <col min="10241" max="10241" width="6.69921875" style="233" customWidth="1"/>
    <col min="10242" max="10242" width="60.19921875" style="233" customWidth="1"/>
    <col min="10243" max="10243" width="16.3984375" style="233" customWidth="1"/>
    <col min="10244" max="10496" width="8.69921875" style="233"/>
    <col min="10497" max="10497" width="6.69921875" style="233" customWidth="1"/>
    <col min="10498" max="10498" width="60.19921875" style="233" customWidth="1"/>
    <col min="10499" max="10499" width="16.3984375" style="233" customWidth="1"/>
    <col min="10500" max="10752" width="8.69921875" style="233"/>
    <col min="10753" max="10753" width="6.69921875" style="233" customWidth="1"/>
    <col min="10754" max="10754" width="60.19921875" style="233" customWidth="1"/>
    <col min="10755" max="10755" width="16.3984375" style="233" customWidth="1"/>
    <col min="10756" max="11008" width="8.69921875" style="233"/>
    <col min="11009" max="11009" width="6.69921875" style="233" customWidth="1"/>
    <col min="11010" max="11010" width="60.19921875" style="233" customWidth="1"/>
    <col min="11011" max="11011" width="16.3984375" style="233" customWidth="1"/>
    <col min="11012" max="11264" width="8.69921875" style="233"/>
    <col min="11265" max="11265" width="6.69921875" style="233" customWidth="1"/>
    <col min="11266" max="11266" width="60.19921875" style="233" customWidth="1"/>
    <col min="11267" max="11267" width="16.3984375" style="233" customWidth="1"/>
    <col min="11268" max="11520" width="8.69921875" style="233"/>
    <col min="11521" max="11521" width="6.69921875" style="233" customWidth="1"/>
    <col min="11522" max="11522" width="60.19921875" style="233" customWidth="1"/>
    <col min="11523" max="11523" width="16.3984375" style="233" customWidth="1"/>
    <col min="11524" max="11776" width="8.69921875" style="233"/>
    <col min="11777" max="11777" width="6.69921875" style="233" customWidth="1"/>
    <col min="11778" max="11778" width="60.19921875" style="233" customWidth="1"/>
    <col min="11779" max="11779" width="16.3984375" style="233" customWidth="1"/>
    <col min="11780" max="12032" width="8.69921875" style="233"/>
    <col min="12033" max="12033" width="6.69921875" style="233" customWidth="1"/>
    <col min="12034" max="12034" width="60.19921875" style="233" customWidth="1"/>
    <col min="12035" max="12035" width="16.3984375" style="233" customWidth="1"/>
    <col min="12036" max="12288" width="8.69921875" style="233"/>
    <col min="12289" max="12289" width="6.69921875" style="233" customWidth="1"/>
    <col min="12290" max="12290" width="60.19921875" style="233" customWidth="1"/>
    <col min="12291" max="12291" width="16.3984375" style="233" customWidth="1"/>
    <col min="12292" max="12544" width="8.69921875" style="233"/>
    <col min="12545" max="12545" width="6.69921875" style="233" customWidth="1"/>
    <col min="12546" max="12546" width="60.19921875" style="233" customWidth="1"/>
    <col min="12547" max="12547" width="16.3984375" style="233" customWidth="1"/>
    <col min="12548" max="12800" width="8.69921875" style="233"/>
    <col min="12801" max="12801" width="6.69921875" style="233" customWidth="1"/>
    <col min="12802" max="12802" width="60.19921875" style="233" customWidth="1"/>
    <col min="12803" max="12803" width="16.3984375" style="233" customWidth="1"/>
    <col min="12804" max="13056" width="8.69921875" style="233"/>
    <col min="13057" max="13057" width="6.69921875" style="233" customWidth="1"/>
    <col min="13058" max="13058" width="60.19921875" style="233" customWidth="1"/>
    <col min="13059" max="13059" width="16.3984375" style="233" customWidth="1"/>
    <col min="13060" max="13312" width="8.69921875" style="233"/>
    <col min="13313" max="13313" width="6.69921875" style="233" customWidth="1"/>
    <col min="13314" max="13314" width="60.19921875" style="233" customWidth="1"/>
    <col min="13315" max="13315" width="16.3984375" style="233" customWidth="1"/>
    <col min="13316" max="13568" width="8.69921875" style="233"/>
    <col min="13569" max="13569" width="6.69921875" style="233" customWidth="1"/>
    <col min="13570" max="13570" width="60.19921875" style="233" customWidth="1"/>
    <col min="13571" max="13571" width="16.3984375" style="233" customWidth="1"/>
    <col min="13572" max="13824" width="8.69921875" style="233"/>
    <col min="13825" max="13825" width="6.69921875" style="233" customWidth="1"/>
    <col min="13826" max="13826" width="60.19921875" style="233" customWidth="1"/>
    <col min="13827" max="13827" width="16.3984375" style="233" customWidth="1"/>
    <col min="13828" max="14080" width="8.69921875" style="233"/>
    <col min="14081" max="14081" width="6.69921875" style="233" customWidth="1"/>
    <col min="14082" max="14082" width="60.19921875" style="233" customWidth="1"/>
    <col min="14083" max="14083" width="16.3984375" style="233" customWidth="1"/>
    <col min="14084" max="14336" width="8.69921875" style="233"/>
    <col min="14337" max="14337" width="6.69921875" style="233" customWidth="1"/>
    <col min="14338" max="14338" width="60.19921875" style="233" customWidth="1"/>
    <col min="14339" max="14339" width="16.3984375" style="233" customWidth="1"/>
    <col min="14340" max="14592" width="8.69921875" style="233"/>
    <col min="14593" max="14593" width="6.69921875" style="233" customWidth="1"/>
    <col min="14594" max="14594" width="60.19921875" style="233" customWidth="1"/>
    <col min="14595" max="14595" width="16.3984375" style="233" customWidth="1"/>
    <col min="14596" max="14848" width="8.69921875" style="233"/>
    <col min="14849" max="14849" width="6.69921875" style="233" customWidth="1"/>
    <col min="14850" max="14850" width="60.19921875" style="233" customWidth="1"/>
    <col min="14851" max="14851" width="16.3984375" style="233" customWidth="1"/>
    <col min="14852" max="15104" width="8.69921875" style="233"/>
    <col min="15105" max="15105" width="6.69921875" style="233" customWidth="1"/>
    <col min="15106" max="15106" width="60.19921875" style="233" customWidth="1"/>
    <col min="15107" max="15107" width="16.3984375" style="233" customWidth="1"/>
    <col min="15108" max="15360" width="8.69921875" style="233"/>
    <col min="15361" max="15361" width="6.69921875" style="233" customWidth="1"/>
    <col min="15362" max="15362" width="60.19921875" style="233" customWidth="1"/>
    <col min="15363" max="15363" width="16.3984375" style="233" customWidth="1"/>
    <col min="15364" max="15616" width="8.69921875" style="233"/>
    <col min="15617" max="15617" width="6.69921875" style="233" customWidth="1"/>
    <col min="15618" max="15618" width="60.19921875" style="233" customWidth="1"/>
    <col min="15619" max="15619" width="16.3984375" style="233" customWidth="1"/>
    <col min="15620" max="15872" width="8.69921875" style="233"/>
    <col min="15873" max="15873" width="6.69921875" style="233" customWidth="1"/>
    <col min="15874" max="15874" width="60.19921875" style="233" customWidth="1"/>
    <col min="15875" max="15875" width="16.3984375" style="233" customWidth="1"/>
    <col min="15876" max="16128" width="8.69921875" style="233"/>
    <col min="16129" max="16129" width="6.69921875" style="233" customWidth="1"/>
    <col min="16130" max="16130" width="60.19921875" style="233" customWidth="1"/>
    <col min="16131" max="16131" width="16.3984375" style="233" customWidth="1"/>
    <col min="16132" max="16384" width="8.69921875" style="233"/>
  </cols>
  <sheetData>
    <row r="1" spans="1:9" s="363" customFormat="1" ht="33.6" customHeight="1" x14ac:dyDescent="0.3">
      <c r="A1" s="472"/>
      <c r="B1" s="472"/>
      <c r="C1" s="362" t="s">
        <v>204</v>
      </c>
    </row>
    <row r="2" spans="1:9" x14ac:dyDescent="0.35">
      <c r="A2" s="469" t="s">
        <v>423</v>
      </c>
      <c r="B2" s="469"/>
      <c r="C2" s="469"/>
    </row>
    <row r="3" spans="1:9" x14ac:dyDescent="0.35">
      <c r="A3" s="470" t="s">
        <v>598</v>
      </c>
      <c r="B3" s="470"/>
      <c r="C3" s="470"/>
    </row>
    <row r="4" spans="1:9" x14ac:dyDescent="0.35">
      <c r="B4" s="471" t="s">
        <v>0</v>
      </c>
      <c r="C4" s="471"/>
    </row>
    <row r="5" spans="1:9" s="232" customFormat="1" ht="17.399999999999999" x14ac:dyDescent="0.3">
      <c r="A5" s="325" t="s">
        <v>1</v>
      </c>
      <c r="B5" s="325" t="s">
        <v>2</v>
      </c>
      <c r="C5" s="326" t="s">
        <v>114</v>
      </c>
    </row>
    <row r="6" spans="1:9" s="236" customFormat="1" ht="17.399999999999999" x14ac:dyDescent="0.3">
      <c r="A6" s="327" t="s">
        <v>51</v>
      </c>
      <c r="B6" s="328" t="s">
        <v>332</v>
      </c>
      <c r="C6" s="329"/>
    </row>
    <row r="7" spans="1:9" s="236" customFormat="1" ht="17.399999999999999" x14ac:dyDescent="0.3">
      <c r="A7" s="327" t="s">
        <v>13</v>
      </c>
      <c r="B7" s="328" t="s">
        <v>333</v>
      </c>
      <c r="C7" s="329">
        <v>1569705.436138598</v>
      </c>
    </row>
    <row r="8" spans="1:9" x14ac:dyDescent="0.35">
      <c r="A8" s="330">
        <v>1</v>
      </c>
      <c r="B8" s="331" t="s">
        <v>334</v>
      </c>
      <c r="C8" s="332">
        <v>1329967.436138598</v>
      </c>
      <c r="D8" s="245">
        <f>+C8+C23</f>
        <v>1569299.436138598</v>
      </c>
    </row>
    <row r="9" spans="1:9" hidden="1" x14ac:dyDescent="0.35">
      <c r="A9" s="330"/>
      <c r="B9" s="331" t="s">
        <v>335</v>
      </c>
      <c r="C9" s="332">
        <v>9939</v>
      </c>
    </row>
    <row r="10" spans="1:9" ht="36" hidden="1" x14ac:dyDescent="0.35">
      <c r="A10" s="330"/>
      <c r="B10" s="333" t="s">
        <v>336</v>
      </c>
      <c r="C10" s="332">
        <v>1607105</v>
      </c>
    </row>
    <row r="11" spans="1:9" x14ac:dyDescent="0.35">
      <c r="A11" s="330">
        <v>2</v>
      </c>
      <c r="B11" s="331" t="s">
        <v>337</v>
      </c>
      <c r="C11" s="332">
        <v>194450</v>
      </c>
      <c r="D11" s="245">
        <f>+C11+C14</f>
        <v>239738</v>
      </c>
      <c r="I11" s="245">
        <f>+C7+C22</f>
        <v>1873217.436138598</v>
      </c>
    </row>
    <row r="12" spans="1:9" x14ac:dyDescent="0.35">
      <c r="A12" s="330"/>
      <c r="B12" s="331" t="s">
        <v>338</v>
      </c>
      <c r="C12" s="332">
        <v>61215</v>
      </c>
    </row>
    <row r="13" spans="1:9" x14ac:dyDescent="0.35">
      <c r="A13" s="330"/>
      <c r="B13" s="331" t="s">
        <v>339</v>
      </c>
      <c r="C13" s="332">
        <v>133235</v>
      </c>
    </row>
    <row r="14" spans="1:9" ht="36" x14ac:dyDescent="0.35">
      <c r="A14" s="364">
        <v>3</v>
      </c>
      <c r="B14" s="322" t="s">
        <v>421</v>
      </c>
      <c r="C14" s="332">
        <v>45288</v>
      </c>
    </row>
    <row r="15" spans="1:9" s="236" customFormat="1" ht="17.399999999999999" x14ac:dyDescent="0.3">
      <c r="A15" s="327" t="s">
        <v>39</v>
      </c>
      <c r="B15" s="328" t="s">
        <v>340</v>
      </c>
      <c r="C15" s="329">
        <v>1569705.436138598</v>
      </c>
      <c r="D15" s="257">
        <f>+C7-C15</f>
        <v>0</v>
      </c>
    </row>
    <row r="16" spans="1:9" ht="36" x14ac:dyDescent="0.35">
      <c r="A16" s="364">
        <v>1</v>
      </c>
      <c r="B16" s="333" t="s">
        <v>341</v>
      </c>
      <c r="C16" s="332">
        <v>1518764.436138598</v>
      </c>
    </row>
    <row r="17" spans="1:3" x14ac:dyDescent="0.35">
      <c r="A17" s="364">
        <v>2</v>
      </c>
      <c r="B17" s="331" t="s">
        <v>95</v>
      </c>
      <c r="C17" s="332">
        <v>50941</v>
      </c>
    </row>
    <row r="18" spans="1:3" x14ac:dyDescent="0.35">
      <c r="A18" s="330"/>
      <c r="B18" s="331" t="s">
        <v>338</v>
      </c>
      <c r="C18" s="332">
        <v>34485</v>
      </c>
    </row>
    <row r="19" spans="1:3" x14ac:dyDescent="0.35">
      <c r="A19" s="330"/>
      <c r="B19" s="331" t="s">
        <v>339</v>
      </c>
      <c r="C19" s="332">
        <v>9137</v>
      </c>
    </row>
    <row r="20" spans="1:3" x14ac:dyDescent="0.35">
      <c r="A20" s="330"/>
      <c r="B20" s="331" t="s">
        <v>520</v>
      </c>
      <c r="C20" s="332">
        <v>7319</v>
      </c>
    </row>
    <row r="21" spans="1:3" s="236" customFormat="1" ht="17.399999999999999" x14ac:dyDescent="0.3">
      <c r="A21" s="327" t="s">
        <v>97</v>
      </c>
      <c r="B21" s="328" t="s">
        <v>343</v>
      </c>
      <c r="C21" s="329"/>
    </row>
    <row r="22" spans="1:3" s="236" customFormat="1" ht="17.399999999999999" x14ac:dyDescent="0.3">
      <c r="A22" s="327" t="s">
        <v>13</v>
      </c>
      <c r="B22" s="328" t="s">
        <v>344</v>
      </c>
      <c r="C22" s="329">
        <v>303512</v>
      </c>
    </row>
    <row r="23" spans="1:3" x14ac:dyDescent="0.35">
      <c r="A23" s="330">
        <v>1</v>
      </c>
      <c r="B23" s="331" t="s">
        <v>345</v>
      </c>
      <c r="C23" s="332">
        <v>239332</v>
      </c>
    </row>
    <row r="24" spans="1:3" hidden="1" x14ac:dyDescent="0.35">
      <c r="A24" s="330"/>
      <c r="B24" s="331" t="s">
        <v>346</v>
      </c>
      <c r="C24" s="332">
        <v>7780</v>
      </c>
    </row>
    <row r="25" spans="1:3" hidden="1" x14ac:dyDescent="0.35">
      <c r="A25" s="330"/>
      <c r="B25" s="331" t="s">
        <v>347</v>
      </c>
      <c r="C25" s="332">
        <v>243536</v>
      </c>
    </row>
    <row r="26" spans="1:3" x14ac:dyDescent="0.35">
      <c r="A26" s="330">
        <v>2</v>
      </c>
      <c r="B26" s="331" t="s">
        <v>348</v>
      </c>
      <c r="C26" s="332">
        <v>50941</v>
      </c>
    </row>
    <row r="27" spans="1:3" x14ac:dyDescent="0.35">
      <c r="A27" s="330"/>
      <c r="B27" s="331" t="s">
        <v>338</v>
      </c>
      <c r="C27" s="332">
        <v>34485</v>
      </c>
    </row>
    <row r="28" spans="1:3" x14ac:dyDescent="0.35">
      <c r="A28" s="330"/>
      <c r="B28" s="331" t="s">
        <v>339</v>
      </c>
      <c r="C28" s="332">
        <v>9137</v>
      </c>
    </row>
    <row r="29" spans="1:3" x14ac:dyDescent="0.35">
      <c r="A29" s="330"/>
      <c r="B29" s="331" t="s">
        <v>520</v>
      </c>
      <c r="C29" s="332">
        <v>7319</v>
      </c>
    </row>
    <row r="30" spans="1:3" ht="36" x14ac:dyDescent="0.35">
      <c r="A30" s="364">
        <v>3</v>
      </c>
      <c r="B30" s="322" t="s">
        <v>421</v>
      </c>
      <c r="C30" s="332">
        <v>13239</v>
      </c>
    </row>
    <row r="31" spans="1:3" s="232" customFormat="1" ht="17.399999999999999" x14ac:dyDescent="0.3">
      <c r="A31" s="327" t="s">
        <v>39</v>
      </c>
      <c r="B31" s="328" t="s">
        <v>349</v>
      </c>
      <c r="C31" s="334">
        <v>303512</v>
      </c>
    </row>
    <row r="32" spans="1:3" s="236" customFormat="1" x14ac:dyDescent="0.35">
      <c r="A32" s="330">
        <v>1</v>
      </c>
      <c r="B32" s="333" t="s">
        <v>431</v>
      </c>
      <c r="C32" s="335">
        <v>303512</v>
      </c>
    </row>
    <row r="33" spans="1:3" x14ac:dyDescent="0.35">
      <c r="A33" s="336">
        <v>2</v>
      </c>
      <c r="B33" s="337" t="s">
        <v>424</v>
      </c>
      <c r="C33" s="338">
        <f>+C34+C35</f>
        <v>43622</v>
      </c>
    </row>
    <row r="34" spans="1:3" x14ac:dyDescent="0.35">
      <c r="B34" s="331" t="s">
        <v>338</v>
      </c>
      <c r="C34" s="339">
        <f>+C27</f>
        <v>34485</v>
      </c>
    </row>
    <row r="35" spans="1:3" x14ac:dyDescent="0.35">
      <c r="B35" s="331" t="s">
        <v>339</v>
      </c>
      <c r="C35" s="339">
        <f>+C28</f>
        <v>9137</v>
      </c>
    </row>
  </sheetData>
  <mergeCells count="4">
    <mergeCell ref="A2:C2"/>
    <mergeCell ref="A3:C3"/>
    <mergeCell ref="B4:C4"/>
    <mergeCell ref="A1:B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4" workbookViewId="0">
      <selection activeCell="H7" sqref="H7"/>
    </sheetView>
  </sheetViews>
  <sheetFormatPr defaultColWidth="9" defaultRowHeight="15.6" x14ac:dyDescent="0.3"/>
  <cols>
    <col min="1" max="1" width="6.59765625" style="35" customWidth="1"/>
    <col min="2" max="2" width="22.69921875" style="35" customWidth="1"/>
    <col min="3" max="3" width="31" style="35" customWidth="1"/>
    <col min="4" max="4" width="16.3984375" style="35" customWidth="1"/>
    <col min="5" max="5" width="13.09765625" style="35" customWidth="1"/>
    <col min="6" max="16384" width="9" style="35"/>
  </cols>
  <sheetData>
    <row r="1" spans="1:5" x14ac:dyDescent="0.3">
      <c r="A1" s="553" t="s">
        <v>103</v>
      </c>
      <c r="B1" s="553"/>
      <c r="C1" s="553"/>
      <c r="D1" s="553"/>
      <c r="E1" s="553"/>
    </row>
    <row r="3" spans="1:5" s="33" customFormat="1" ht="31.2" x14ac:dyDescent="0.3">
      <c r="A3" s="32" t="s">
        <v>1</v>
      </c>
      <c r="B3" s="32" t="s">
        <v>104</v>
      </c>
      <c r="C3" s="32" t="s">
        <v>2</v>
      </c>
      <c r="D3" s="32" t="s">
        <v>105</v>
      </c>
      <c r="E3" s="34" t="s">
        <v>117</v>
      </c>
    </row>
    <row r="4" spans="1:5" s="33" customFormat="1" x14ac:dyDescent="0.3">
      <c r="A4" s="32" t="s">
        <v>13</v>
      </c>
      <c r="B4" s="32" t="s">
        <v>114</v>
      </c>
      <c r="C4" s="32"/>
      <c r="D4" s="36">
        <f>+'Tổng chi'!N49*1000000</f>
        <v>30961000000</v>
      </c>
      <c r="E4" s="32"/>
    </row>
    <row r="5" spans="1:5" s="33" customFormat="1" x14ac:dyDescent="0.3">
      <c r="A5" s="32" t="s">
        <v>39</v>
      </c>
      <c r="B5" s="32" t="s">
        <v>116</v>
      </c>
      <c r="C5" s="32"/>
      <c r="D5" s="36">
        <f>+SUM(D6:D10)</f>
        <v>14874342000</v>
      </c>
      <c r="E5" s="32"/>
    </row>
    <row r="6" spans="1:5" ht="78" x14ac:dyDescent="0.3">
      <c r="A6" s="37">
        <v>1</v>
      </c>
      <c r="B6" s="37" t="s">
        <v>106</v>
      </c>
      <c r="C6" s="3" t="s">
        <v>107</v>
      </c>
      <c r="D6" s="38">
        <v>305180000</v>
      </c>
      <c r="E6" s="3" t="s">
        <v>108</v>
      </c>
    </row>
    <row r="7" spans="1:5" ht="62.4" x14ac:dyDescent="0.3">
      <c r="A7" s="37">
        <v>2</v>
      </c>
      <c r="B7" s="3" t="s">
        <v>138</v>
      </c>
      <c r="C7" s="3" t="s">
        <v>109</v>
      </c>
      <c r="D7" s="38">
        <v>12095738000</v>
      </c>
      <c r="E7" s="3" t="s">
        <v>110</v>
      </c>
    </row>
    <row r="8" spans="1:5" ht="62.4" x14ac:dyDescent="0.3">
      <c r="A8" s="37">
        <v>3</v>
      </c>
      <c r="B8" s="37" t="s">
        <v>111</v>
      </c>
      <c r="C8" s="3" t="s">
        <v>113</v>
      </c>
      <c r="D8" s="38">
        <v>2050424000</v>
      </c>
      <c r="E8" s="3" t="s">
        <v>112</v>
      </c>
    </row>
    <row r="9" spans="1:5" ht="31.2" x14ac:dyDescent="0.3">
      <c r="A9" s="37">
        <v>4</v>
      </c>
      <c r="B9" s="37" t="s">
        <v>135</v>
      </c>
      <c r="C9" s="3" t="s">
        <v>147</v>
      </c>
      <c r="D9" s="38">
        <v>99000000</v>
      </c>
      <c r="E9" s="3" t="s">
        <v>148</v>
      </c>
    </row>
    <row r="10" spans="1:5" x14ac:dyDescent="0.3">
      <c r="A10" s="37">
        <v>5</v>
      </c>
      <c r="B10" s="37" t="s">
        <v>161</v>
      </c>
      <c r="C10" s="3" t="s">
        <v>162</v>
      </c>
      <c r="D10" s="38">
        <v>324000000</v>
      </c>
      <c r="E10" s="3"/>
    </row>
    <row r="11" spans="1:5" s="33" customFormat="1" x14ac:dyDescent="0.3">
      <c r="A11" s="32" t="s">
        <v>92</v>
      </c>
      <c r="B11" s="32" t="s">
        <v>115</v>
      </c>
      <c r="C11" s="34"/>
      <c r="D11" s="39">
        <f>+D4-D5</f>
        <v>16086658000</v>
      </c>
      <c r="E11" s="34"/>
    </row>
    <row r="12" spans="1:5" x14ac:dyDescent="0.3">
      <c r="C12" s="40"/>
      <c r="E12" s="40"/>
    </row>
    <row r="13" spans="1:5" x14ac:dyDescent="0.3">
      <c r="C13" s="40"/>
      <c r="E13" s="40"/>
    </row>
    <row r="14" spans="1:5" x14ac:dyDescent="0.3">
      <c r="C14" s="40"/>
      <c r="E14" s="40"/>
    </row>
    <row r="15" spans="1:5" x14ac:dyDescent="0.3">
      <c r="C15" s="40"/>
      <c r="E15" s="40"/>
    </row>
    <row r="16" spans="1:5" x14ac:dyDescent="0.3">
      <c r="C16" s="40"/>
      <c r="E16" s="40"/>
    </row>
    <row r="17" spans="5:5" x14ac:dyDescent="0.3">
      <c r="E17" s="40"/>
    </row>
    <row r="18" spans="5:5" x14ac:dyDescent="0.3">
      <c r="E18" s="40"/>
    </row>
    <row r="19" spans="5:5" x14ac:dyDescent="0.3">
      <c r="E19" s="40"/>
    </row>
    <row r="20" spans="5:5" x14ac:dyDescent="0.3">
      <c r="E20" s="40"/>
    </row>
    <row r="21" spans="5:5" x14ac:dyDescent="0.3">
      <c r="E21" s="40"/>
    </row>
    <row r="22" spans="5:5" x14ac:dyDescent="0.3">
      <c r="E22" s="40"/>
    </row>
    <row r="23" spans="5:5" x14ac:dyDescent="0.3">
      <c r="E23" s="40"/>
    </row>
    <row r="24" spans="5:5" x14ac:dyDescent="0.3">
      <c r="E24" s="40"/>
    </row>
    <row r="25" spans="5:5" x14ac:dyDescent="0.3">
      <c r="E25" s="40"/>
    </row>
    <row r="26" spans="5:5" x14ac:dyDescent="0.3">
      <c r="E26" s="40"/>
    </row>
    <row r="27" spans="5:5" x14ac:dyDescent="0.3">
      <c r="E27" s="40"/>
    </row>
    <row r="28" spans="5:5" x14ac:dyDescent="0.3">
      <c r="E28" s="40"/>
    </row>
    <row r="29" spans="5:5" x14ac:dyDescent="0.3">
      <c r="E29" s="40"/>
    </row>
    <row r="30" spans="5:5" x14ac:dyDescent="0.3">
      <c r="E30" s="40"/>
    </row>
    <row r="31" spans="5:5" x14ac:dyDescent="0.3">
      <c r="E31" s="40"/>
    </row>
    <row r="32" spans="5:5" x14ac:dyDescent="0.3">
      <c r="E32" s="40"/>
    </row>
    <row r="33" spans="5:5" x14ac:dyDescent="0.3">
      <c r="E33" s="40"/>
    </row>
    <row r="34" spans="5:5" x14ac:dyDescent="0.3">
      <c r="E34" s="40"/>
    </row>
  </sheetData>
  <mergeCells count="1">
    <mergeCell ref="A1:E1"/>
  </mergeCells>
  <pageMargins left="0.2" right="0.2"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E11" sqref="E11"/>
    </sheetView>
  </sheetViews>
  <sheetFormatPr defaultColWidth="9" defaultRowHeight="15.6" x14ac:dyDescent="0.3"/>
  <cols>
    <col min="1" max="1" width="6.59765625" style="35" customWidth="1"/>
    <col min="2" max="2" width="22.69921875" style="35" customWidth="1"/>
    <col min="3" max="3" width="31" style="35" customWidth="1"/>
    <col min="4" max="4" width="16.3984375" style="35" customWidth="1"/>
    <col min="5" max="5" width="13.09765625" style="35" customWidth="1"/>
    <col min="6" max="16384" width="9" style="35"/>
  </cols>
  <sheetData>
    <row r="1" spans="1:5" x14ac:dyDescent="0.3">
      <c r="A1" s="553" t="s">
        <v>118</v>
      </c>
      <c r="B1" s="553"/>
      <c r="C1" s="553"/>
      <c r="D1" s="553"/>
      <c r="E1" s="553"/>
    </row>
    <row r="3" spans="1:5" s="33" customFormat="1" ht="31.2" x14ac:dyDescent="0.3">
      <c r="A3" s="32" t="s">
        <v>1</v>
      </c>
      <c r="B3" s="32" t="s">
        <v>104</v>
      </c>
      <c r="C3" s="32" t="s">
        <v>2</v>
      </c>
      <c r="D3" s="32" t="s">
        <v>105</v>
      </c>
      <c r="E3" s="34" t="s">
        <v>117</v>
      </c>
    </row>
    <row r="4" spans="1:5" s="33" customFormat="1" x14ac:dyDescent="0.3">
      <c r="A4" s="32" t="s">
        <v>13</v>
      </c>
      <c r="B4" s="32" t="s">
        <v>114</v>
      </c>
      <c r="C4" s="32"/>
      <c r="D4" s="36">
        <f>+'Tổng chi'!N47*1000000</f>
        <v>2408000000</v>
      </c>
      <c r="E4" s="32"/>
    </row>
    <row r="5" spans="1:5" s="33" customFormat="1" x14ac:dyDescent="0.3">
      <c r="A5" s="32" t="s">
        <v>39</v>
      </c>
      <c r="B5" s="32" t="s">
        <v>116</v>
      </c>
      <c r="C5" s="32"/>
      <c r="D5" s="36">
        <f>+SUM(D6:D17)</f>
        <v>521900000</v>
      </c>
      <c r="E5" s="32"/>
    </row>
    <row r="6" spans="1:5" ht="36" x14ac:dyDescent="0.3">
      <c r="A6" s="37">
        <v>1</v>
      </c>
      <c r="B6" s="37" t="s">
        <v>124</v>
      </c>
      <c r="C6" s="41" t="s">
        <v>119</v>
      </c>
      <c r="D6" s="38">
        <v>56000000</v>
      </c>
      <c r="E6" s="3" t="s">
        <v>129</v>
      </c>
    </row>
    <row r="7" spans="1:5" ht="54" x14ac:dyDescent="0.3">
      <c r="A7" s="37">
        <v>2</v>
      </c>
      <c r="B7" s="37" t="s">
        <v>125</v>
      </c>
      <c r="C7" s="41" t="s">
        <v>120</v>
      </c>
      <c r="D7" s="38">
        <v>25000000</v>
      </c>
      <c r="E7" s="3" t="s">
        <v>130</v>
      </c>
    </row>
    <row r="8" spans="1:5" ht="72" x14ac:dyDescent="0.3">
      <c r="A8" s="37">
        <v>3</v>
      </c>
      <c r="B8" s="37" t="s">
        <v>126</v>
      </c>
      <c r="C8" s="41" t="s">
        <v>121</v>
      </c>
      <c r="D8" s="38">
        <v>49200000</v>
      </c>
      <c r="E8" s="3" t="s">
        <v>131</v>
      </c>
    </row>
    <row r="9" spans="1:5" ht="54" x14ac:dyDescent="0.3">
      <c r="A9" s="37">
        <v>4</v>
      </c>
      <c r="B9" s="37" t="s">
        <v>127</v>
      </c>
      <c r="C9" s="41" t="s">
        <v>122</v>
      </c>
      <c r="D9" s="38">
        <v>100000000</v>
      </c>
      <c r="E9" s="3" t="s">
        <v>132</v>
      </c>
    </row>
    <row r="10" spans="1:5" ht="36" x14ac:dyDescent="0.3">
      <c r="A10" s="37">
        <v>5</v>
      </c>
      <c r="B10" s="37" t="s">
        <v>128</v>
      </c>
      <c r="C10" s="41" t="s">
        <v>123</v>
      </c>
      <c r="D10" s="38">
        <v>120000000</v>
      </c>
      <c r="E10" s="3" t="s">
        <v>133</v>
      </c>
    </row>
    <row r="11" spans="1:5" ht="162" x14ac:dyDescent="0.3">
      <c r="A11" s="37"/>
      <c r="B11" s="37" t="s">
        <v>135</v>
      </c>
      <c r="C11" s="41" t="s">
        <v>136</v>
      </c>
      <c r="D11" s="38">
        <v>141700000</v>
      </c>
      <c r="E11" s="3" t="s">
        <v>137</v>
      </c>
    </row>
    <row r="12" spans="1:5" ht="31.2" x14ac:dyDescent="0.3">
      <c r="A12" s="37"/>
      <c r="B12" s="37" t="s">
        <v>144</v>
      </c>
      <c r="C12" s="3" t="s">
        <v>145</v>
      </c>
      <c r="D12" s="38">
        <v>30000000</v>
      </c>
      <c r="E12" s="3" t="s">
        <v>146</v>
      </c>
    </row>
    <row r="13" spans="1:5" x14ac:dyDescent="0.3">
      <c r="A13" s="37"/>
      <c r="B13" s="37"/>
      <c r="C13" s="3"/>
      <c r="D13" s="38"/>
      <c r="E13" s="3"/>
    </row>
    <row r="14" spans="1:5" x14ac:dyDescent="0.3">
      <c r="A14" s="37"/>
      <c r="B14" s="37"/>
      <c r="C14" s="3"/>
      <c r="D14" s="38"/>
      <c r="E14" s="3"/>
    </row>
    <row r="15" spans="1:5" x14ac:dyDescent="0.3">
      <c r="A15" s="37"/>
      <c r="B15" s="37"/>
      <c r="C15" s="3"/>
      <c r="D15" s="38"/>
      <c r="E15" s="3"/>
    </row>
    <row r="16" spans="1:5" x14ac:dyDescent="0.3">
      <c r="A16" s="37"/>
      <c r="B16" s="37"/>
      <c r="C16" s="3"/>
      <c r="D16" s="38"/>
      <c r="E16" s="3"/>
    </row>
    <row r="17" spans="1:5" x14ac:dyDescent="0.3">
      <c r="A17" s="37"/>
      <c r="B17" s="37"/>
      <c r="C17" s="3"/>
      <c r="D17" s="38"/>
      <c r="E17" s="3"/>
    </row>
    <row r="18" spans="1:5" s="33" customFormat="1" x14ac:dyDescent="0.3">
      <c r="A18" s="32" t="s">
        <v>92</v>
      </c>
      <c r="B18" s="32" t="s">
        <v>115</v>
      </c>
      <c r="C18" s="34"/>
      <c r="D18" s="39">
        <f>+D4-D5</f>
        <v>1886100000</v>
      </c>
      <c r="E18" s="34"/>
    </row>
    <row r="19" spans="1:5" x14ac:dyDescent="0.3">
      <c r="C19" s="40"/>
      <c r="E19" s="40"/>
    </row>
    <row r="20" spans="1:5" x14ac:dyDescent="0.3">
      <c r="C20" s="40"/>
      <c r="E20" s="40"/>
    </row>
    <row r="21" spans="1:5" x14ac:dyDescent="0.3">
      <c r="C21" s="40"/>
      <c r="E21" s="40"/>
    </row>
    <row r="22" spans="1:5" x14ac:dyDescent="0.3">
      <c r="C22" s="40"/>
      <c r="E22" s="40"/>
    </row>
    <row r="23" spans="1:5" x14ac:dyDescent="0.3">
      <c r="C23" s="40"/>
      <c r="E23" s="40"/>
    </row>
    <row r="24" spans="1:5" x14ac:dyDescent="0.3">
      <c r="E24" s="40"/>
    </row>
    <row r="25" spans="1:5" x14ac:dyDescent="0.3">
      <c r="E25" s="40"/>
    </row>
    <row r="26" spans="1:5" x14ac:dyDescent="0.3">
      <c r="E26" s="40"/>
    </row>
    <row r="27" spans="1:5" x14ac:dyDescent="0.3">
      <c r="E27" s="40"/>
    </row>
    <row r="28" spans="1:5" x14ac:dyDescent="0.3">
      <c r="E28" s="40"/>
    </row>
    <row r="29" spans="1:5" x14ac:dyDescent="0.3">
      <c r="E29" s="40"/>
    </row>
    <row r="30" spans="1:5" x14ac:dyDescent="0.3">
      <c r="E30" s="40"/>
    </row>
    <row r="31" spans="1:5" x14ac:dyDescent="0.3">
      <c r="E31" s="40"/>
    </row>
    <row r="32" spans="1:5" x14ac:dyDescent="0.3">
      <c r="E32" s="40"/>
    </row>
    <row r="33" spans="5:5" x14ac:dyDescent="0.3">
      <c r="E33" s="40"/>
    </row>
    <row r="34" spans="5:5" x14ac:dyDescent="0.3">
      <c r="E34" s="40"/>
    </row>
    <row r="35" spans="5:5" x14ac:dyDescent="0.3">
      <c r="E35" s="40"/>
    </row>
    <row r="36" spans="5:5" x14ac:dyDescent="0.3">
      <c r="E36" s="40"/>
    </row>
    <row r="37" spans="5:5" x14ac:dyDescent="0.3">
      <c r="E37" s="40"/>
    </row>
    <row r="38" spans="5:5" x14ac:dyDescent="0.3">
      <c r="E38" s="40"/>
    </row>
    <row r="39" spans="5:5" x14ac:dyDescent="0.3">
      <c r="E39" s="40"/>
    </row>
    <row r="40" spans="5:5" x14ac:dyDescent="0.3">
      <c r="E40" s="40"/>
    </row>
    <row r="41" spans="5:5" x14ac:dyDescent="0.3">
      <c r="E41" s="40"/>
    </row>
  </sheetData>
  <mergeCells count="1">
    <mergeCell ref="A1:E1"/>
  </mergeCells>
  <pageMargins left="0.2" right="0.2"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E6" sqref="E6"/>
    </sheetView>
  </sheetViews>
  <sheetFormatPr defaultColWidth="9" defaultRowHeight="15.6" x14ac:dyDescent="0.3"/>
  <cols>
    <col min="1" max="1" width="6.59765625" style="35" customWidth="1"/>
    <col min="2" max="2" width="22.69921875" style="35" customWidth="1"/>
    <col min="3" max="3" width="31" style="35" customWidth="1"/>
    <col min="4" max="4" width="16.3984375" style="35" customWidth="1"/>
    <col min="5" max="5" width="13.09765625" style="35" customWidth="1"/>
    <col min="6" max="16384" width="9" style="35"/>
  </cols>
  <sheetData>
    <row r="1" spans="1:5" x14ac:dyDescent="0.3">
      <c r="A1" s="553" t="s">
        <v>141</v>
      </c>
      <c r="B1" s="553"/>
      <c r="C1" s="553"/>
      <c r="D1" s="553"/>
      <c r="E1" s="553"/>
    </row>
    <row r="3" spans="1:5" s="33" customFormat="1" ht="31.2" x14ac:dyDescent="0.3">
      <c r="A3" s="32" t="s">
        <v>1</v>
      </c>
      <c r="B3" s="32" t="s">
        <v>104</v>
      </c>
      <c r="C3" s="32" t="s">
        <v>2</v>
      </c>
      <c r="D3" s="32" t="s">
        <v>105</v>
      </c>
      <c r="E3" s="34" t="s">
        <v>117</v>
      </c>
    </row>
    <row r="4" spans="1:5" s="33" customFormat="1" x14ac:dyDescent="0.3">
      <c r="A4" s="32" t="s">
        <v>13</v>
      </c>
      <c r="B4" s="32" t="s">
        <v>114</v>
      </c>
      <c r="C4" s="32"/>
      <c r="D4" s="36">
        <f>+'Tổng chi'!N45*1000000</f>
        <v>7969000000</v>
      </c>
      <c r="E4" s="32"/>
    </row>
    <row r="5" spans="1:5" s="33" customFormat="1" x14ac:dyDescent="0.3">
      <c r="A5" s="32" t="s">
        <v>39</v>
      </c>
      <c r="B5" s="32" t="s">
        <v>116</v>
      </c>
      <c r="C5" s="32"/>
      <c r="D5" s="36">
        <f>+SUM(D6:D8)</f>
        <v>1188000000</v>
      </c>
      <c r="E5" s="32"/>
    </row>
    <row r="6" spans="1:5" ht="31.2" x14ac:dyDescent="0.35">
      <c r="A6" s="37">
        <v>1</v>
      </c>
      <c r="B6" s="3" t="s">
        <v>142</v>
      </c>
      <c r="C6" s="42" t="s">
        <v>143</v>
      </c>
      <c r="D6" s="45">
        <v>1188000000</v>
      </c>
      <c r="E6" s="3"/>
    </row>
    <row r="7" spans="1:5" ht="18" x14ac:dyDescent="0.35">
      <c r="A7" s="37"/>
      <c r="B7" s="37"/>
      <c r="C7" s="44"/>
      <c r="D7" s="38"/>
      <c r="E7" s="3"/>
    </row>
    <row r="8" spans="1:5" ht="18" x14ac:dyDescent="0.35">
      <c r="A8" s="37"/>
      <c r="B8" s="37"/>
      <c r="C8" s="44"/>
      <c r="D8" s="38"/>
      <c r="E8" s="3"/>
    </row>
    <row r="9" spans="1:5" s="33" customFormat="1" x14ac:dyDescent="0.3">
      <c r="A9" s="32" t="s">
        <v>92</v>
      </c>
      <c r="B9" s="32" t="s">
        <v>115</v>
      </c>
      <c r="C9" s="34"/>
      <c r="D9" s="39">
        <f>+D4-D5</f>
        <v>6781000000</v>
      </c>
      <c r="E9" s="34"/>
    </row>
    <row r="10" spans="1:5" x14ac:dyDescent="0.3">
      <c r="C10" s="40"/>
      <c r="E10" s="40"/>
    </row>
    <row r="11" spans="1:5" x14ac:dyDescent="0.3">
      <c r="C11" s="40"/>
      <c r="E11" s="40"/>
    </row>
    <row r="12" spans="1:5" x14ac:dyDescent="0.3">
      <c r="C12" s="40"/>
      <c r="E12" s="40"/>
    </row>
    <row r="13" spans="1:5" x14ac:dyDescent="0.3">
      <c r="C13" s="40"/>
      <c r="E13" s="40"/>
    </row>
    <row r="14" spans="1:5" x14ac:dyDescent="0.3">
      <c r="C14" s="40"/>
      <c r="E14" s="40"/>
    </row>
    <row r="15" spans="1:5" x14ac:dyDescent="0.3">
      <c r="E15" s="40"/>
    </row>
    <row r="16" spans="1:5" x14ac:dyDescent="0.3">
      <c r="E16" s="40"/>
    </row>
    <row r="17" spans="5:5" x14ac:dyDescent="0.3">
      <c r="E17" s="40"/>
    </row>
    <row r="18" spans="5:5" x14ac:dyDescent="0.3">
      <c r="E18" s="40"/>
    </row>
    <row r="19" spans="5:5" x14ac:dyDescent="0.3">
      <c r="E19" s="40"/>
    </row>
    <row r="20" spans="5:5" x14ac:dyDescent="0.3">
      <c r="E20" s="40"/>
    </row>
    <row r="21" spans="5:5" x14ac:dyDescent="0.3">
      <c r="E21" s="40"/>
    </row>
    <row r="22" spans="5:5" x14ac:dyDescent="0.3">
      <c r="E22" s="40"/>
    </row>
    <row r="23" spans="5:5" x14ac:dyDescent="0.3">
      <c r="E23" s="40"/>
    </row>
    <row r="24" spans="5:5" x14ac:dyDescent="0.3">
      <c r="E24" s="40"/>
    </row>
    <row r="25" spans="5:5" x14ac:dyDescent="0.3">
      <c r="E25" s="40"/>
    </row>
    <row r="26" spans="5:5" x14ac:dyDescent="0.3">
      <c r="E26" s="40"/>
    </row>
    <row r="27" spans="5:5" x14ac:dyDescent="0.3">
      <c r="E27" s="40"/>
    </row>
    <row r="28" spans="5:5" x14ac:dyDescent="0.3">
      <c r="E28" s="40"/>
    </row>
    <row r="29" spans="5:5" x14ac:dyDescent="0.3">
      <c r="E29" s="40"/>
    </row>
    <row r="30" spans="5:5" x14ac:dyDescent="0.3">
      <c r="E30" s="40"/>
    </row>
    <row r="31" spans="5:5" x14ac:dyDescent="0.3">
      <c r="E31" s="40"/>
    </row>
    <row r="32" spans="5:5" x14ac:dyDescent="0.3">
      <c r="E32" s="40"/>
    </row>
  </sheetData>
  <mergeCells count="1">
    <mergeCell ref="A1:E1"/>
  </mergeCells>
  <pageMargins left="0.2" right="0.2"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F8" sqref="F8"/>
    </sheetView>
  </sheetViews>
  <sheetFormatPr defaultColWidth="9" defaultRowHeight="15.6" x14ac:dyDescent="0.3"/>
  <cols>
    <col min="1" max="1" width="6.59765625" style="35" customWidth="1"/>
    <col min="2" max="2" width="22.69921875" style="35" customWidth="1"/>
    <col min="3" max="3" width="31" style="35" customWidth="1"/>
    <col min="4" max="4" width="16.3984375" style="35" customWidth="1"/>
    <col min="5" max="5" width="13.09765625" style="35" customWidth="1"/>
    <col min="6" max="16384" width="9" style="35"/>
  </cols>
  <sheetData>
    <row r="1" spans="1:5" x14ac:dyDescent="0.3">
      <c r="A1" s="553" t="s">
        <v>134</v>
      </c>
      <c r="B1" s="553"/>
      <c r="C1" s="553"/>
      <c r="D1" s="553"/>
      <c r="E1" s="553"/>
    </row>
    <row r="3" spans="1:5" s="33" customFormat="1" ht="31.2" x14ac:dyDescent="0.3">
      <c r="A3" s="32" t="s">
        <v>1</v>
      </c>
      <c r="B3" s="32" t="s">
        <v>104</v>
      </c>
      <c r="C3" s="32" t="s">
        <v>2</v>
      </c>
      <c r="D3" s="32" t="s">
        <v>105</v>
      </c>
      <c r="E3" s="34" t="s">
        <v>117</v>
      </c>
    </row>
    <row r="4" spans="1:5" s="33" customFormat="1" x14ac:dyDescent="0.3">
      <c r="A4" s="32" t="s">
        <v>13</v>
      </c>
      <c r="B4" s="32" t="s">
        <v>114</v>
      </c>
      <c r="C4" s="32"/>
      <c r="D4" s="36">
        <v>12000000000</v>
      </c>
      <c r="E4" s="32"/>
    </row>
    <row r="5" spans="1:5" s="33" customFormat="1" x14ac:dyDescent="0.3">
      <c r="A5" s="32" t="s">
        <v>39</v>
      </c>
      <c r="B5" s="32" t="s">
        <v>116</v>
      </c>
      <c r="C5" s="32"/>
      <c r="D5" s="36">
        <f>+SUM(D6:D8)</f>
        <v>7964000000</v>
      </c>
      <c r="E5" s="32"/>
    </row>
    <row r="6" spans="1:5" ht="108" x14ac:dyDescent="0.35">
      <c r="A6" s="37">
        <v>1</v>
      </c>
      <c r="B6" s="37" t="s">
        <v>140</v>
      </c>
      <c r="C6" s="42" t="s">
        <v>139</v>
      </c>
      <c r="D6" s="43">
        <v>7964000000</v>
      </c>
      <c r="E6" s="3"/>
    </row>
    <row r="7" spans="1:5" ht="18" x14ac:dyDescent="0.35">
      <c r="A7" s="37"/>
      <c r="B7" s="37"/>
      <c r="C7" s="44"/>
      <c r="D7" s="38"/>
      <c r="E7" s="3"/>
    </row>
    <row r="8" spans="1:5" ht="18" x14ac:dyDescent="0.35">
      <c r="A8" s="37"/>
      <c r="B8" s="37"/>
      <c r="C8" s="44"/>
      <c r="D8" s="38"/>
      <c r="E8" s="3"/>
    </row>
    <row r="9" spans="1:5" s="33" customFormat="1" x14ac:dyDescent="0.3">
      <c r="A9" s="32" t="s">
        <v>92</v>
      </c>
      <c r="B9" s="32" t="s">
        <v>115</v>
      </c>
      <c r="C9" s="34"/>
      <c r="D9" s="39">
        <f>+D4-D5</f>
        <v>4036000000</v>
      </c>
      <c r="E9" s="34"/>
    </row>
    <row r="10" spans="1:5" x14ac:dyDescent="0.3">
      <c r="C10" s="40"/>
      <c r="E10" s="40"/>
    </row>
    <row r="11" spans="1:5" x14ac:dyDescent="0.3">
      <c r="C11" s="40"/>
      <c r="E11" s="40"/>
    </row>
    <row r="12" spans="1:5" x14ac:dyDescent="0.3">
      <c r="C12" s="40"/>
      <c r="E12" s="40"/>
    </row>
    <row r="13" spans="1:5" x14ac:dyDescent="0.3">
      <c r="C13" s="40"/>
      <c r="E13" s="40"/>
    </row>
    <row r="14" spans="1:5" x14ac:dyDescent="0.3">
      <c r="C14" s="40"/>
      <c r="E14" s="40"/>
    </row>
    <row r="15" spans="1:5" x14ac:dyDescent="0.3">
      <c r="E15" s="40"/>
    </row>
    <row r="16" spans="1:5" x14ac:dyDescent="0.3">
      <c r="E16" s="40"/>
    </row>
    <row r="17" spans="5:5" x14ac:dyDescent="0.3">
      <c r="E17" s="40"/>
    </row>
    <row r="18" spans="5:5" x14ac:dyDescent="0.3">
      <c r="E18" s="40"/>
    </row>
    <row r="19" spans="5:5" x14ac:dyDescent="0.3">
      <c r="E19" s="40"/>
    </row>
    <row r="20" spans="5:5" x14ac:dyDescent="0.3">
      <c r="E20" s="40"/>
    </row>
    <row r="21" spans="5:5" x14ac:dyDescent="0.3">
      <c r="E21" s="40"/>
    </row>
    <row r="22" spans="5:5" x14ac:dyDescent="0.3">
      <c r="E22" s="40"/>
    </row>
    <row r="23" spans="5:5" x14ac:dyDescent="0.3">
      <c r="E23" s="40"/>
    </row>
    <row r="24" spans="5:5" x14ac:dyDescent="0.3">
      <c r="E24" s="40"/>
    </row>
    <row r="25" spans="5:5" x14ac:dyDescent="0.3">
      <c r="E25" s="40"/>
    </row>
    <row r="26" spans="5:5" x14ac:dyDescent="0.3">
      <c r="E26" s="40"/>
    </row>
    <row r="27" spans="5:5" x14ac:dyDescent="0.3">
      <c r="E27" s="40"/>
    </row>
    <row r="28" spans="5:5" x14ac:dyDescent="0.3">
      <c r="E28" s="40"/>
    </row>
    <row r="29" spans="5:5" x14ac:dyDescent="0.3">
      <c r="E29" s="40"/>
    </row>
    <row r="30" spans="5:5" x14ac:dyDescent="0.3">
      <c r="E30" s="40"/>
    </row>
    <row r="31" spans="5:5" x14ac:dyDescent="0.3">
      <c r="E31" s="40"/>
    </row>
    <row r="32" spans="5:5" x14ac:dyDescent="0.3">
      <c r="E32" s="40"/>
    </row>
  </sheetData>
  <mergeCells count="1">
    <mergeCell ref="A1:E1"/>
  </mergeCells>
  <pageMargins left="0.2" right="0.2"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W61"/>
  <sheetViews>
    <sheetView view="pageBreakPreview" zoomScaleNormal="80" zoomScaleSheetLayoutView="100" workbookViewId="0">
      <pane xSplit="2" ySplit="8" topLeftCell="AE9" activePane="bottomRight" state="frozen"/>
      <selection activeCell="B15" sqref="B15"/>
      <selection pane="topRight" activeCell="B15" sqref="B15"/>
      <selection pane="bottomLeft" activeCell="B15" sqref="B15"/>
      <selection pane="bottomRight" activeCell="AE15" sqref="AE15"/>
    </sheetView>
  </sheetViews>
  <sheetFormatPr defaultColWidth="9" defaultRowHeight="18" x14ac:dyDescent="0.35"/>
  <cols>
    <col min="1" max="1" width="8.19921875" style="233" customWidth="1"/>
    <col min="2" max="2" width="61.09765625" style="233" customWidth="1"/>
    <col min="3" max="3" width="10.3984375" style="234" hidden="1" customWidth="1"/>
    <col min="4" max="4" width="12" style="234" hidden="1" customWidth="1"/>
    <col min="5" max="5" width="12.09765625" style="234" hidden="1" customWidth="1"/>
    <col min="6" max="7" width="9.09765625" style="234" hidden="1" customWidth="1"/>
    <col min="8" max="8" width="11.19921875" style="234" hidden="1" customWidth="1"/>
    <col min="9" max="9" width="10.09765625" style="234" hidden="1" customWidth="1"/>
    <col min="10" max="10" width="11.09765625" style="234" hidden="1" customWidth="1"/>
    <col min="11" max="11" width="10.09765625" style="234" hidden="1" customWidth="1"/>
    <col min="12" max="12" width="9.09765625" style="234" hidden="1" customWidth="1"/>
    <col min="13" max="13" width="11.09765625" style="234" hidden="1" customWidth="1"/>
    <col min="14" max="14" width="10.09765625" style="234" hidden="1" customWidth="1"/>
    <col min="15" max="15" width="11.09765625" style="234" hidden="1" customWidth="1"/>
    <col min="16" max="17" width="9.09765625" style="234" hidden="1" customWidth="1"/>
    <col min="18" max="18" width="11.09765625" style="234" hidden="1" customWidth="1"/>
    <col min="19" max="19" width="10.09765625" style="234" hidden="1" customWidth="1"/>
    <col min="20" max="20" width="11.09765625" style="234" hidden="1" customWidth="1"/>
    <col min="21" max="22" width="9.09765625" style="234" hidden="1" customWidth="1"/>
    <col min="23" max="23" width="11.09765625" style="234" hidden="1" customWidth="1"/>
    <col min="24" max="25" width="10.09765625" style="234" hidden="1" customWidth="1"/>
    <col min="26" max="26" width="11.09765625" style="234" hidden="1" customWidth="1"/>
    <col min="27" max="27" width="11.8984375" style="234" hidden="1" customWidth="1"/>
    <col min="28" max="28" width="10.19921875" style="234" hidden="1" customWidth="1"/>
    <col min="29" max="29" width="14.59765625" style="234" hidden="1" customWidth="1"/>
    <col min="30" max="30" width="10.69921875" style="234" hidden="1" customWidth="1"/>
    <col min="31" max="35" width="13.69921875" style="234" customWidth="1"/>
    <col min="36" max="36" width="11.8984375" style="234" hidden="1" customWidth="1"/>
    <col min="37" max="37" width="10.19921875" style="234" hidden="1" customWidth="1"/>
    <col min="38" max="38" width="14.59765625" style="234" hidden="1" customWidth="1"/>
    <col min="39" max="41" width="10.69921875" style="234" hidden="1" customWidth="1"/>
    <col min="42" max="42" width="14.3984375" style="234" hidden="1" customWidth="1"/>
    <col min="43" max="44" width="10.69921875" style="234" hidden="1" customWidth="1"/>
    <col min="45" max="45" width="10.59765625" style="234" hidden="1" customWidth="1"/>
    <col min="46" max="46" width="13.19921875" style="234" hidden="1" customWidth="1"/>
    <col min="47" max="49" width="10.69921875" style="234" hidden="1" customWidth="1"/>
    <col min="50" max="51" width="10.59765625" style="234" hidden="1" customWidth="1"/>
    <col min="52" max="56" width="11.5" style="234" hidden="1" customWidth="1"/>
    <col min="57" max="57" width="10.8984375" style="234" hidden="1" customWidth="1"/>
    <col min="58" max="58" width="10.09765625" style="234" hidden="1" customWidth="1"/>
    <col min="59" max="59" width="13.69921875" style="234" hidden="1" customWidth="1"/>
    <col min="60" max="60" width="0" style="234" hidden="1" customWidth="1"/>
    <col min="61" max="61" width="13.69921875" style="233" hidden="1" customWidth="1"/>
    <col min="62" max="64" width="0" style="233" hidden="1" customWidth="1"/>
    <col min="65" max="65" width="11.59765625" style="233" customWidth="1"/>
    <col min="66" max="66" width="12.09765625" style="233" bestFit="1" customWidth="1"/>
    <col min="67" max="67" width="9" style="233"/>
    <col min="68" max="68" width="15.19921875" style="233" bestFit="1" customWidth="1"/>
    <col min="69" max="72" width="9" style="233"/>
    <col min="73" max="73" width="12.09765625" style="233" bestFit="1" customWidth="1"/>
    <col min="74" max="74" width="14.5" style="233" bestFit="1" customWidth="1"/>
    <col min="75" max="75" width="12.69921875" style="233" bestFit="1" customWidth="1"/>
    <col min="76" max="16384" width="9" style="233"/>
  </cols>
  <sheetData>
    <row r="1" spans="1:75" x14ac:dyDescent="0.35">
      <c r="A1" s="232"/>
      <c r="AB1" s="234">
        <f t="shared" ref="AB1" si="0">+AB11-AB3</f>
        <v>301600</v>
      </c>
      <c r="AI1" s="234" t="s">
        <v>234</v>
      </c>
      <c r="AK1" s="234" t="e">
        <f t="shared" ref="AK1" si="1">+AK11-AK3</f>
        <v>#VALUE!</v>
      </c>
      <c r="AM1" s="234" t="s">
        <v>204</v>
      </c>
      <c r="AZ1" s="234" t="s">
        <v>205</v>
      </c>
      <c r="BE1" s="234">
        <f>+BE11-BE31</f>
        <v>-431544</v>
      </c>
      <c r="BF1" s="234">
        <f>+O11-O31</f>
        <v>404054</v>
      </c>
    </row>
    <row r="2" spans="1:75" ht="36.6" customHeight="1" x14ac:dyDescent="0.35">
      <c r="A2" s="469" t="s">
        <v>379</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257">
        <f>+AE13-AF13</f>
        <v>65771</v>
      </c>
      <c r="AK2" s="236"/>
      <c r="AL2" s="236"/>
      <c r="AM2" s="236"/>
      <c r="AN2" s="235"/>
      <c r="AO2" s="236"/>
      <c r="AP2" s="236"/>
      <c r="AQ2" s="236"/>
      <c r="AR2" s="236"/>
      <c r="AS2" s="236"/>
      <c r="AT2" s="236"/>
      <c r="AU2" s="236"/>
      <c r="AV2" s="236"/>
      <c r="AW2" s="236"/>
      <c r="AX2" s="236"/>
      <c r="AY2" s="236"/>
      <c r="AZ2" s="236"/>
      <c r="BA2" s="235"/>
      <c r="BB2" s="235"/>
      <c r="BC2" s="235"/>
      <c r="BD2" s="235"/>
      <c r="BE2" s="237">
        <f>+P1/BE1*100</f>
        <v>0</v>
      </c>
      <c r="BF2" s="234">
        <f>+J11-J31</f>
        <v>466662</v>
      </c>
    </row>
    <row r="3" spans="1:75" x14ac:dyDescent="0.35">
      <c r="A3" s="470" t="s">
        <v>600</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t="s">
        <v>576</v>
      </c>
      <c r="AL3" s="470"/>
      <c r="AM3" s="470"/>
      <c r="AN3" s="238">
        <f>+AJ11+AL11+AM11</f>
        <v>1613700</v>
      </c>
      <c r="AO3" s="239"/>
      <c r="AP3" s="240"/>
      <c r="AQ3" s="240"/>
      <c r="AR3" s="240"/>
      <c r="AS3" s="241"/>
      <c r="AT3" s="240"/>
      <c r="AU3" s="240"/>
      <c r="AV3" s="240"/>
      <c r="AW3" s="240"/>
      <c r="AX3" s="241"/>
      <c r="AY3" s="241"/>
      <c r="AZ3" s="241"/>
      <c r="BA3" s="241"/>
      <c r="BB3" s="241"/>
      <c r="BC3" s="241"/>
      <c r="BD3" s="241"/>
      <c r="BE3" s="242"/>
      <c r="BF3" s="234">
        <f>+BF1/BF2*100</f>
        <v>86.583865838658397</v>
      </c>
    </row>
    <row r="4" spans="1:75" x14ac:dyDescent="0.35">
      <c r="B4" s="475" t="s">
        <v>0</v>
      </c>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291"/>
      <c r="AK4" s="244"/>
      <c r="AL4" s="473" t="s">
        <v>0</v>
      </c>
      <c r="AM4" s="473"/>
      <c r="AN4" s="244"/>
      <c r="AO4" s="244"/>
      <c r="AP4" s="244"/>
      <c r="AQ4" s="244"/>
      <c r="AR4" s="244"/>
      <c r="AS4" s="244"/>
      <c r="AT4" s="244"/>
      <c r="AU4" s="244"/>
      <c r="AV4" s="244"/>
      <c r="AW4" s="244"/>
      <c r="AX4" s="244"/>
      <c r="AY4" s="244"/>
      <c r="AZ4" s="244"/>
      <c r="BA4" s="234">
        <f>+T8/J8</f>
        <v>1.1467301754641919</v>
      </c>
      <c r="BE4" s="243"/>
      <c r="BG4" s="245"/>
      <c r="BH4" s="233"/>
    </row>
    <row r="5" spans="1:75" s="232" customFormat="1" ht="20.25" customHeight="1" x14ac:dyDescent="0.3">
      <c r="A5" s="479" t="s">
        <v>1</v>
      </c>
      <c r="B5" s="479" t="s">
        <v>2</v>
      </c>
      <c r="C5" s="474" t="s">
        <v>3</v>
      </c>
      <c r="D5" s="474" t="s">
        <v>4</v>
      </c>
      <c r="E5" s="474" t="s">
        <v>5</v>
      </c>
      <c r="F5" s="474"/>
      <c r="G5" s="474"/>
      <c r="H5" s="474"/>
      <c r="I5" s="474"/>
      <c r="J5" s="474" t="s">
        <v>6</v>
      </c>
      <c r="K5" s="474"/>
      <c r="L5" s="474"/>
      <c r="M5" s="474"/>
      <c r="N5" s="474"/>
      <c r="O5" s="474" t="s">
        <v>164</v>
      </c>
      <c r="P5" s="474"/>
      <c r="Q5" s="474"/>
      <c r="R5" s="474"/>
      <c r="S5" s="474"/>
      <c r="T5" s="474" t="s">
        <v>181</v>
      </c>
      <c r="U5" s="474"/>
      <c r="V5" s="474"/>
      <c r="W5" s="474"/>
      <c r="X5" s="474"/>
      <c r="Y5" s="246"/>
      <c r="Z5" s="474" t="s">
        <v>182</v>
      </c>
      <c r="AA5" s="474"/>
      <c r="AB5" s="474"/>
      <c r="AC5" s="474"/>
      <c r="AD5" s="474"/>
      <c r="AE5" s="474" t="s">
        <v>380</v>
      </c>
      <c r="AF5" s="474" t="s">
        <v>525</v>
      </c>
      <c r="AG5" s="474" t="s">
        <v>381</v>
      </c>
      <c r="AH5" s="474" t="s">
        <v>382</v>
      </c>
      <c r="AI5" s="474" t="s">
        <v>383</v>
      </c>
      <c r="AJ5" s="284"/>
      <c r="AK5" s="284"/>
      <c r="AL5" s="284"/>
      <c r="AM5" s="285"/>
      <c r="AN5" s="246"/>
      <c r="AO5" s="476" t="s">
        <v>183</v>
      </c>
      <c r="AP5" s="476"/>
      <c r="AQ5" s="476"/>
      <c r="AR5" s="476"/>
      <c r="AS5" s="476"/>
      <c r="AT5" s="476"/>
      <c r="AU5" s="476"/>
      <c r="AV5" s="476"/>
      <c r="AW5" s="476"/>
      <c r="AX5" s="476"/>
      <c r="AY5" s="476" t="s">
        <v>189</v>
      </c>
      <c r="AZ5" s="476"/>
      <c r="BA5" s="247"/>
      <c r="BB5" s="247"/>
      <c r="BC5" s="247"/>
      <c r="BD5" s="247"/>
      <c r="BE5" s="247">
        <v>3185566</v>
      </c>
      <c r="BF5" s="248">
        <f>+BE6/E8*100</f>
        <v>159.3998423798146</v>
      </c>
      <c r="BG5" s="249"/>
    </row>
    <row r="6" spans="1:75" s="232" customFormat="1" ht="43.95" customHeight="1" x14ac:dyDescent="0.3">
      <c r="A6" s="479"/>
      <c r="B6" s="479"/>
      <c r="C6" s="474"/>
      <c r="D6" s="474"/>
      <c r="E6" s="474" t="s">
        <v>7</v>
      </c>
      <c r="F6" s="474" t="s">
        <v>8</v>
      </c>
      <c r="G6" s="474" t="s">
        <v>9</v>
      </c>
      <c r="H6" s="474" t="s">
        <v>10</v>
      </c>
      <c r="I6" s="474" t="s">
        <v>11</v>
      </c>
      <c r="J6" s="474" t="s">
        <v>7</v>
      </c>
      <c r="K6" s="474" t="s">
        <v>8</v>
      </c>
      <c r="L6" s="474" t="s">
        <v>9</v>
      </c>
      <c r="M6" s="474" t="s">
        <v>10</v>
      </c>
      <c r="N6" s="474" t="s">
        <v>11</v>
      </c>
      <c r="O6" s="246" t="s">
        <v>7</v>
      </c>
      <c r="P6" s="246" t="s">
        <v>8</v>
      </c>
      <c r="Q6" s="246" t="s">
        <v>9</v>
      </c>
      <c r="R6" s="246" t="s">
        <v>10</v>
      </c>
      <c r="S6" s="246" t="s">
        <v>11</v>
      </c>
      <c r="T6" s="474" t="s">
        <v>7</v>
      </c>
      <c r="U6" s="474" t="s">
        <v>8</v>
      </c>
      <c r="V6" s="474" t="s">
        <v>9</v>
      </c>
      <c r="W6" s="474" t="s">
        <v>10</v>
      </c>
      <c r="X6" s="474" t="s">
        <v>11</v>
      </c>
      <c r="Y6" s="246"/>
      <c r="Z6" s="474" t="s">
        <v>7</v>
      </c>
      <c r="AA6" s="474" t="s">
        <v>193</v>
      </c>
      <c r="AB6" s="477" t="s">
        <v>9</v>
      </c>
      <c r="AC6" s="474" t="s">
        <v>10</v>
      </c>
      <c r="AD6" s="474" t="s">
        <v>11</v>
      </c>
      <c r="AE6" s="474"/>
      <c r="AF6" s="474"/>
      <c r="AG6" s="474"/>
      <c r="AH6" s="474"/>
      <c r="AI6" s="474"/>
      <c r="AJ6" s="286"/>
      <c r="AK6" s="286"/>
      <c r="AL6" s="286"/>
      <c r="AM6" s="287"/>
      <c r="AN6" s="246"/>
      <c r="AO6" s="474" t="s">
        <v>186</v>
      </c>
      <c r="AP6" s="474"/>
      <c r="AQ6" s="474"/>
      <c r="AR6" s="474"/>
      <c r="AS6" s="474"/>
      <c r="AT6" s="474" t="s">
        <v>188</v>
      </c>
      <c r="AU6" s="474"/>
      <c r="AV6" s="474"/>
      <c r="AW6" s="474"/>
      <c r="AX6" s="474"/>
      <c r="AY6" s="474" t="s">
        <v>190</v>
      </c>
      <c r="AZ6" s="474" t="s">
        <v>185</v>
      </c>
      <c r="BA6" s="250"/>
      <c r="BB6" s="250"/>
      <c r="BC6" s="250"/>
      <c r="BD6" s="250"/>
      <c r="BE6" s="250">
        <f>+BE5/5*6</f>
        <v>3822679.1999999997</v>
      </c>
      <c r="BF6" s="248">
        <f>+BE6/J8*100</f>
        <v>140.12645797081473</v>
      </c>
      <c r="BG6" s="249"/>
      <c r="BI6" s="251"/>
      <c r="BJ6" s="251"/>
      <c r="BK6" s="251"/>
      <c r="BL6" s="251"/>
      <c r="BM6" s="251"/>
      <c r="BW6" s="232">
        <v>150000</v>
      </c>
    </row>
    <row r="7" spans="1:75" s="232" customFormat="1" ht="61.95" hidden="1" customHeight="1" x14ac:dyDescent="0.3">
      <c r="A7" s="479"/>
      <c r="B7" s="479"/>
      <c r="C7" s="246"/>
      <c r="D7" s="246"/>
      <c r="E7" s="474"/>
      <c r="F7" s="474"/>
      <c r="G7" s="474"/>
      <c r="H7" s="474"/>
      <c r="I7" s="474"/>
      <c r="J7" s="474"/>
      <c r="K7" s="474"/>
      <c r="L7" s="474"/>
      <c r="M7" s="474"/>
      <c r="N7" s="474"/>
      <c r="O7" s="246"/>
      <c r="P7" s="246"/>
      <c r="Q7" s="246"/>
      <c r="R7" s="246"/>
      <c r="S7" s="246"/>
      <c r="T7" s="474"/>
      <c r="U7" s="474"/>
      <c r="V7" s="474"/>
      <c r="W7" s="474"/>
      <c r="X7" s="474"/>
      <c r="Y7" s="246"/>
      <c r="Z7" s="474"/>
      <c r="AA7" s="474"/>
      <c r="AB7" s="478"/>
      <c r="AC7" s="474"/>
      <c r="AD7" s="474"/>
      <c r="AE7" s="288"/>
      <c r="AF7" s="289"/>
      <c r="AG7" s="289"/>
      <c r="AH7" s="289"/>
      <c r="AI7" s="289"/>
      <c r="AJ7" s="289"/>
      <c r="AK7" s="289"/>
      <c r="AL7" s="289"/>
      <c r="AM7" s="290"/>
      <c r="AN7" s="246"/>
      <c r="AO7" s="246" t="s">
        <v>7</v>
      </c>
      <c r="AP7" s="246" t="s">
        <v>193</v>
      </c>
      <c r="AQ7" s="246" t="s">
        <v>9</v>
      </c>
      <c r="AR7" s="246" t="s">
        <v>10</v>
      </c>
      <c r="AS7" s="246" t="s">
        <v>11</v>
      </c>
      <c r="AT7" s="246" t="s">
        <v>7</v>
      </c>
      <c r="AU7" s="246" t="s">
        <v>193</v>
      </c>
      <c r="AV7" s="246" t="s">
        <v>9</v>
      </c>
      <c r="AW7" s="246" t="s">
        <v>10</v>
      </c>
      <c r="AX7" s="246" t="s">
        <v>11</v>
      </c>
      <c r="AY7" s="474"/>
      <c r="AZ7" s="474"/>
      <c r="BA7" s="250"/>
      <c r="BB7" s="250"/>
      <c r="BC7" s="250"/>
      <c r="BD7" s="250"/>
      <c r="BE7" s="250"/>
      <c r="BF7" s="248"/>
      <c r="BG7" s="249"/>
      <c r="BI7" s="251"/>
      <c r="BJ7" s="251"/>
      <c r="BK7" s="251"/>
      <c r="BL7" s="251"/>
      <c r="BM7" s="251"/>
    </row>
    <row r="8" spans="1:75" s="236" customFormat="1" ht="20.100000000000001" hidden="1" customHeight="1" x14ac:dyDescent="0.35">
      <c r="A8" s="252"/>
      <c r="B8" s="252" t="s">
        <v>12</v>
      </c>
      <c r="C8" s="253">
        <f t="shared" ref="C8:I8" si="2">+C11+C42</f>
        <v>2335284</v>
      </c>
      <c r="D8" s="253">
        <f t="shared" si="2"/>
        <v>4228016</v>
      </c>
      <c r="E8" s="253">
        <f t="shared" si="2"/>
        <v>2398170</v>
      </c>
      <c r="F8" s="253">
        <f t="shared" si="2"/>
        <v>10701</v>
      </c>
      <c r="G8" s="253">
        <f t="shared" si="2"/>
        <v>551600</v>
      </c>
      <c r="H8" s="253">
        <f t="shared" si="2"/>
        <v>1566064.6</v>
      </c>
      <c r="I8" s="253">
        <f t="shared" si="2"/>
        <v>269804.40000000002</v>
      </c>
      <c r="J8" s="253">
        <f>+J11+J42-1</f>
        <v>2728021</v>
      </c>
      <c r="K8" s="253">
        <f>+K11+K42</f>
        <v>10701</v>
      </c>
      <c r="L8" s="253">
        <f>+L11+L42</f>
        <v>607600</v>
      </c>
      <c r="M8" s="253">
        <f>+M11+M42</f>
        <v>1797345.6</v>
      </c>
      <c r="N8" s="253">
        <f>+N11+N42-1</f>
        <v>312374.40000000002</v>
      </c>
      <c r="O8" s="253">
        <f t="shared" ref="O8:X8" si="3">+O11+O42+O48</f>
        <v>1847571</v>
      </c>
      <c r="P8" s="253">
        <f t="shared" si="3"/>
        <v>26768</v>
      </c>
      <c r="Q8" s="253">
        <f t="shared" si="3"/>
        <v>500852</v>
      </c>
      <c r="R8" s="253">
        <f t="shared" si="3"/>
        <v>1122673</v>
      </c>
      <c r="S8" s="253">
        <f t="shared" si="3"/>
        <v>197278</v>
      </c>
      <c r="T8" s="253">
        <f t="shared" si="3"/>
        <v>3128304</v>
      </c>
      <c r="U8" s="253">
        <f t="shared" si="3"/>
        <v>45154</v>
      </c>
      <c r="V8" s="253">
        <f t="shared" si="3"/>
        <v>812255</v>
      </c>
      <c r="W8" s="253">
        <f t="shared" si="3"/>
        <v>1913298</v>
      </c>
      <c r="X8" s="253">
        <f t="shared" si="3"/>
        <v>357597</v>
      </c>
      <c r="Y8" s="253">
        <f>+T8/J8*100</f>
        <v>114.67301754641919</v>
      </c>
      <c r="Z8" s="253">
        <f t="shared" ref="Z8:AE8" si="4">+Z11+Z42+Z48</f>
        <v>1712816</v>
      </c>
      <c r="AA8" s="253">
        <f t="shared" si="4"/>
        <v>326010</v>
      </c>
      <c r="AB8" s="253">
        <f t="shared" si="4"/>
        <v>301600</v>
      </c>
      <c r="AC8" s="253">
        <f t="shared" si="4"/>
        <v>1185782</v>
      </c>
      <c r="AD8" s="253">
        <f t="shared" si="4"/>
        <v>201024</v>
      </c>
      <c r="AE8" s="253">
        <f t="shared" si="4"/>
        <v>3000506</v>
      </c>
      <c r="AF8" s="253"/>
      <c r="AG8" s="253"/>
      <c r="AH8" s="253"/>
      <c r="AI8" s="253"/>
      <c r="AJ8" s="253">
        <f>+AJ11+AJ42+AJ48</f>
        <v>326010</v>
      </c>
      <c r="AK8" s="253">
        <f>+AK11+AK42+AK48</f>
        <v>301600</v>
      </c>
      <c r="AL8" s="253">
        <f>+AL11+AL42+AL48</f>
        <v>1185782</v>
      </c>
      <c r="AM8" s="253">
        <f>+AM11+AM42+AM48</f>
        <v>201024</v>
      </c>
      <c r="AN8" s="253">
        <f>+T8/J8*100</f>
        <v>114.67301754641919</v>
      </c>
      <c r="AO8" s="253">
        <f>+Z8-E8</f>
        <v>-685354</v>
      </c>
      <c r="AP8" s="253">
        <f>+AA8-F8</f>
        <v>315309</v>
      </c>
      <c r="AQ8" s="253">
        <f>+AB8-G8</f>
        <v>-250000</v>
      </c>
      <c r="AR8" s="253">
        <f>+M8-H8</f>
        <v>231281</v>
      </c>
      <c r="AS8" s="254">
        <f>+AD8-I8</f>
        <v>-68780.400000000023</v>
      </c>
      <c r="AT8" s="253">
        <f t="shared" ref="AT8:AX9" si="5">+Z8-T8</f>
        <v>-1415488</v>
      </c>
      <c r="AU8" s="253">
        <f t="shared" si="5"/>
        <v>280856</v>
      </c>
      <c r="AV8" s="253">
        <f t="shared" si="5"/>
        <v>-510655</v>
      </c>
      <c r="AW8" s="253">
        <f t="shared" si="5"/>
        <v>-727516</v>
      </c>
      <c r="AX8" s="253">
        <f t="shared" si="5"/>
        <v>-156573</v>
      </c>
      <c r="AY8" s="253">
        <f>+Z8/E8*100</f>
        <v>71.421792450076509</v>
      </c>
      <c r="AZ8" s="254">
        <f>+Z8/T8*100</f>
        <v>54.752223569064896</v>
      </c>
      <c r="BA8" s="254">
        <f>+T8/J8*100</f>
        <v>114.67301754641919</v>
      </c>
      <c r="BB8" s="254"/>
      <c r="BC8" s="254"/>
      <c r="BD8" s="254"/>
      <c r="BE8" s="255">
        <v>547309</v>
      </c>
      <c r="BF8" s="256">
        <v>229</v>
      </c>
      <c r="BG8" s="257"/>
      <c r="BH8" s="257"/>
      <c r="BI8" s="234"/>
      <c r="BJ8" s="258"/>
      <c r="BK8" s="258"/>
      <c r="BL8" s="258"/>
      <c r="BM8" s="258"/>
    </row>
    <row r="9" spans="1:75" s="236" customFormat="1" ht="20.100000000000001" hidden="1" customHeight="1" x14ac:dyDescent="0.35">
      <c r="A9" s="259"/>
      <c r="B9" s="259" t="s">
        <v>187</v>
      </c>
      <c r="C9" s="260"/>
      <c r="D9" s="260"/>
      <c r="E9" s="260">
        <f t="shared" ref="E9:X9" si="6">+E11-E31</f>
        <v>459026</v>
      </c>
      <c r="F9" s="260">
        <f t="shared" si="6"/>
        <v>10701</v>
      </c>
      <c r="G9" s="260">
        <f t="shared" si="6"/>
        <v>1600</v>
      </c>
      <c r="H9" s="260">
        <f t="shared" si="6"/>
        <v>405762.60000000009</v>
      </c>
      <c r="I9" s="260">
        <f t="shared" si="6"/>
        <v>40962.399999999994</v>
      </c>
      <c r="J9" s="260">
        <f t="shared" si="6"/>
        <v>466662</v>
      </c>
      <c r="K9" s="260">
        <f t="shared" si="6"/>
        <v>10701</v>
      </c>
      <c r="L9" s="260">
        <f t="shared" si="6"/>
        <v>1600</v>
      </c>
      <c r="M9" s="260">
        <f t="shared" si="6"/>
        <v>405043.60000000009</v>
      </c>
      <c r="N9" s="260">
        <f t="shared" si="6"/>
        <v>49317.399999999994</v>
      </c>
      <c r="O9" s="260">
        <f t="shared" si="6"/>
        <v>404054</v>
      </c>
      <c r="P9" s="260">
        <f t="shared" si="6"/>
        <v>26768</v>
      </c>
      <c r="Q9" s="260">
        <f t="shared" si="6"/>
        <v>78876</v>
      </c>
      <c r="R9" s="260">
        <f t="shared" si="6"/>
        <v>253129</v>
      </c>
      <c r="S9" s="260">
        <f t="shared" si="6"/>
        <v>45281</v>
      </c>
      <c r="T9" s="260">
        <f t="shared" si="6"/>
        <v>757444</v>
      </c>
      <c r="U9" s="260">
        <f t="shared" si="6"/>
        <v>45154</v>
      </c>
      <c r="V9" s="260">
        <f t="shared" si="6"/>
        <v>124346</v>
      </c>
      <c r="W9" s="260">
        <f t="shared" si="6"/>
        <v>504355</v>
      </c>
      <c r="X9" s="260">
        <f t="shared" si="6"/>
        <v>83589</v>
      </c>
      <c r="Y9" s="253">
        <f t="shared" ref="Y9:Y49" si="7">+T9/J9*100</f>
        <v>162.3110516819454</v>
      </c>
      <c r="Z9" s="260">
        <f t="shared" ref="Z9:AE9" si="8">+Z11-Z31</f>
        <v>613700</v>
      </c>
      <c r="AA9" s="260">
        <f t="shared" si="8"/>
        <v>26010</v>
      </c>
      <c r="AB9" s="260">
        <f t="shared" si="8"/>
        <v>1600</v>
      </c>
      <c r="AC9" s="260">
        <f t="shared" si="8"/>
        <v>528239</v>
      </c>
      <c r="AD9" s="260">
        <f t="shared" si="8"/>
        <v>59451</v>
      </c>
      <c r="AE9" s="260">
        <f t="shared" si="8"/>
        <v>613700</v>
      </c>
      <c r="AF9" s="260"/>
      <c r="AG9" s="260"/>
      <c r="AH9" s="260"/>
      <c r="AI9" s="260"/>
      <c r="AJ9" s="260">
        <f>+AJ11-AJ31</f>
        <v>26010</v>
      </c>
      <c r="AK9" s="260">
        <f>+AK11-AK31</f>
        <v>1600</v>
      </c>
      <c r="AL9" s="260">
        <f>+AL11-AL31</f>
        <v>528239</v>
      </c>
      <c r="AM9" s="260">
        <f>+AM11-AM31</f>
        <v>59451</v>
      </c>
      <c r="AN9" s="253">
        <f t="shared" ref="AN9:AN46" si="9">+T9/J9*100</f>
        <v>162.3110516819454</v>
      </c>
      <c r="AO9" s="260">
        <f>+AO11-AO31</f>
        <v>154674</v>
      </c>
      <c r="AP9" s="260">
        <f>+AP11-AP31</f>
        <v>13709</v>
      </c>
      <c r="AQ9" s="260">
        <f>+AQ11-AQ31</f>
        <v>0</v>
      </c>
      <c r="AR9" s="260">
        <f>+AR11-AR31</f>
        <v>122476.39999999991</v>
      </c>
      <c r="AS9" s="260">
        <f>+AS11-AS31</f>
        <v>18488.600000000006</v>
      </c>
      <c r="AT9" s="260">
        <f t="shared" si="5"/>
        <v>-143744</v>
      </c>
      <c r="AU9" s="260">
        <f t="shared" si="5"/>
        <v>-19144</v>
      </c>
      <c r="AV9" s="260">
        <f t="shared" si="5"/>
        <v>-122746</v>
      </c>
      <c r="AW9" s="260">
        <f t="shared" si="5"/>
        <v>23884</v>
      </c>
      <c r="AX9" s="260">
        <f t="shared" si="5"/>
        <v>-24138</v>
      </c>
      <c r="AY9" s="260">
        <f>+Z9/E9*100</f>
        <v>133.69613050241162</v>
      </c>
      <c r="AZ9" s="261">
        <f>+Z9/T9*100</f>
        <v>81.022491431709796</v>
      </c>
      <c r="BA9" s="254">
        <f t="shared" ref="BA9:BA46" si="10">+T9/J9*100</f>
        <v>162.3110516819454</v>
      </c>
      <c r="BB9" s="254"/>
      <c r="BC9" s="254"/>
      <c r="BD9" s="254"/>
      <c r="BE9" s="253"/>
      <c r="BF9" s="256"/>
      <c r="BG9" s="257"/>
      <c r="BH9" s="257"/>
      <c r="BI9" s="234"/>
      <c r="BJ9" s="258"/>
      <c r="BK9" s="258"/>
      <c r="BL9" s="258"/>
      <c r="BM9" s="258"/>
    </row>
    <row r="10" spans="1:75" s="236" customFormat="1" ht="20.100000000000001" hidden="1" customHeight="1" x14ac:dyDescent="0.35">
      <c r="A10" s="259"/>
      <c r="B10" s="262" t="s">
        <v>191</v>
      </c>
      <c r="C10" s="260"/>
      <c r="D10" s="260"/>
      <c r="E10" s="260"/>
      <c r="F10" s="260"/>
      <c r="G10" s="260"/>
      <c r="H10" s="260"/>
      <c r="I10" s="260"/>
      <c r="J10" s="260"/>
      <c r="K10" s="260"/>
      <c r="L10" s="260"/>
      <c r="M10" s="260"/>
      <c r="N10" s="260"/>
      <c r="O10" s="260"/>
      <c r="P10" s="260"/>
      <c r="Q10" s="260"/>
      <c r="R10" s="260"/>
      <c r="S10" s="260"/>
      <c r="T10" s="260"/>
      <c r="U10" s="260"/>
      <c r="V10" s="260"/>
      <c r="W10" s="260"/>
      <c r="X10" s="260"/>
      <c r="Y10" s="253" t="e">
        <f t="shared" si="7"/>
        <v>#DIV/0!</v>
      </c>
      <c r="Z10" s="260"/>
      <c r="AA10" s="260"/>
      <c r="AB10" s="260"/>
      <c r="AC10" s="260"/>
      <c r="AD10" s="260"/>
      <c r="AE10" s="260"/>
      <c r="AF10" s="260"/>
      <c r="AG10" s="260"/>
      <c r="AH10" s="260"/>
      <c r="AI10" s="260"/>
      <c r="AJ10" s="260"/>
      <c r="AK10" s="260"/>
      <c r="AL10" s="260"/>
      <c r="AM10" s="260"/>
      <c r="AN10" s="253" t="e">
        <f t="shared" si="9"/>
        <v>#DIV/0!</v>
      </c>
      <c r="AO10" s="260"/>
      <c r="AP10" s="260"/>
      <c r="AQ10" s="260"/>
      <c r="AR10" s="260"/>
      <c r="AS10" s="260"/>
      <c r="AT10" s="260"/>
      <c r="AU10" s="260"/>
      <c r="AV10" s="260"/>
      <c r="AW10" s="260"/>
      <c r="AX10" s="260"/>
      <c r="AY10" s="260"/>
      <c r="AZ10" s="261"/>
      <c r="BA10" s="254" t="e">
        <f t="shared" si="10"/>
        <v>#DIV/0!</v>
      </c>
      <c r="BB10" s="254"/>
      <c r="BC10" s="254"/>
      <c r="BD10" s="254"/>
      <c r="BE10" s="253"/>
      <c r="BF10" s="256"/>
      <c r="BG10" s="257"/>
      <c r="BH10" s="257"/>
      <c r="BI10" s="234"/>
      <c r="BJ10" s="258"/>
      <c r="BK10" s="258"/>
      <c r="BL10" s="258"/>
      <c r="BM10" s="258"/>
    </row>
    <row r="11" spans="1:75" s="236" customFormat="1" ht="20.100000000000001" customHeight="1" x14ac:dyDescent="0.35">
      <c r="A11" s="263" t="s">
        <v>13</v>
      </c>
      <c r="B11" s="264" t="s">
        <v>14</v>
      </c>
      <c r="C11" s="261">
        <v>2067469</v>
      </c>
      <c r="D11" s="261">
        <v>3729202</v>
      </c>
      <c r="E11" s="261">
        <v>2159026</v>
      </c>
      <c r="F11" s="261">
        <v>10701</v>
      </c>
      <c r="G11" s="261">
        <v>551600</v>
      </c>
      <c r="H11" s="261">
        <v>1385762.6</v>
      </c>
      <c r="I11" s="261">
        <v>210962.4</v>
      </c>
      <c r="J11" s="261">
        <v>2486662</v>
      </c>
      <c r="K11" s="261">
        <v>10701</v>
      </c>
      <c r="L11" s="261">
        <v>607600</v>
      </c>
      <c r="M11" s="261">
        <v>1617043.6</v>
      </c>
      <c r="N11" s="261">
        <v>251317.4</v>
      </c>
      <c r="O11" s="261">
        <v>1660182</v>
      </c>
      <c r="P11" s="261">
        <v>26768</v>
      </c>
      <c r="Q11" s="261">
        <v>500852</v>
      </c>
      <c r="R11" s="261">
        <v>961668</v>
      </c>
      <c r="S11" s="261">
        <v>170894</v>
      </c>
      <c r="T11" s="261">
        <v>2886944</v>
      </c>
      <c r="U11" s="261">
        <v>45154</v>
      </c>
      <c r="V11" s="261">
        <v>812255</v>
      </c>
      <c r="W11" s="261">
        <v>1732996</v>
      </c>
      <c r="X11" s="261">
        <v>296539</v>
      </c>
      <c r="Y11" s="253">
        <v>116.09716157644263</v>
      </c>
      <c r="Z11" s="261">
        <v>1613700</v>
      </c>
      <c r="AA11" s="261">
        <v>326010</v>
      </c>
      <c r="AB11" s="261">
        <v>301600</v>
      </c>
      <c r="AC11" s="261">
        <v>1128239</v>
      </c>
      <c r="AD11" s="261">
        <v>159451</v>
      </c>
      <c r="AE11" s="261">
        <v>1613700</v>
      </c>
      <c r="AF11" s="261">
        <v>1744806</v>
      </c>
      <c r="AG11" s="261">
        <v>1890931</v>
      </c>
      <c r="AH11" s="261">
        <v>2107800</v>
      </c>
      <c r="AI11" s="261">
        <v>2307800</v>
      </c>
      <c r="AJ11" s="261">
        <f t="shared" ref="AH11:AM11" si="11">+AJ14+AJ21+AJ24+AJ39+AJ27+AJ30+AJ31+AJ32+AJ33+AJ34+AJ35</f>
        <v>326010</v>
      </c>
      <c r="AK11" s="261">
        <f t="shared" si="11"/>
        <v>301600</v>
      </c>
      <c r="AL11" s="261">
        <f t="shared" si="11"/>
        <v>1128239</v>
      </c>
      <c r="AM11" s="261">
        <f t="shared" si="11"/>
        <v>159451</v>
      </c>
      <c r="AN11" s="253">
        <f t="shared" si="9"/>
        <v>116.09716157644263</v>
      </c>
      <c r="AO11" s="260">
        <f t="shared" ref="AO11:AO46" si="12">+Z11-E11</f>
        <v>-545326</v>
      </c>
      <c r="AP11" s="260">
        <f>+AA11-F11-G11</f>
        <v>-236291</v>
      </c>
      <c r="AQ11" s="260">
        <f t="shared" ref="AQ11:AQ46" si="13">+AB11-G11</f>
        <v>-250000</v>
      </c>
      <c r="AR11" s="260">
        <f t="shared" ref="AR11:AR46" si="14">+AC11-H11</f>
        <v>-257523.60000000009</v>
      </c>
      <c r="AS11" s="261">
        <f t="shared" ref="AS11:AS46" si="15">+AD11-I11</f>
        <v>-51511.399999999994</v>
      </c>
      <c r="AT11" s="260">
        <f t="shared" ref="AT11:AT46" si="16">+Z11-T11</f>
        <v>-1273244</v>
      </c>
      <c r="AU11" s="260">
        <f>+AA11-U11-V11</f>
        <v>-531399</v>
      </c>
      <c r="AV11" s="260">
        <f t="shared" ref="AV11:AV46" si="17">+AB11-V11</f>
        <v>-510655</v>
      </c>
      <c r="AW11" s="260">
        <f t="shared" ref="AW11:AW46" si="18">+AC11-W11</f>
        <v>-604757</v>
      </c>
      <c r="AX11" s="260">
        <f t="shared" ref="AX11:AX46" si="19">+AD11-X11</f>
        <v>-137088</v>
      </c>
      <c r="AY11" s="260">
        <f>+Z11/E11*100</f>
        <v>74.742036455327536</v>
      </c>
      <c r="AZ11" s="261">
        <f>+Z11/T11*100</f>
        <v>55.896477382311538</v>
      </c>
      <c r="BA11" s="254">
        <f t="shared" si="10"/>
        <v>116.09716157644263</v>
      </c>
      <c r="BB11" s="254"/>
      <c r="BC11" s="254"/>
      <c r="BD11" s="254"/>
      <c r="BE11" s="261">
        <v>407134</v>
      </c>
      <c r="BF11" s="256">
        <f>+S11+BF8</f>
        <v>171123</v>
      </c>
      <c r="BG11" s="45">
        <v>103556</v>
      </c>
      <c r="BH11" s="257"/>
      <c r="BI11" s="256"/>
      <c r="BJ11" s="258"/>
      <c r="BK11" s="258"/>
      <c r="BL11" s="258"/>
      <c r="BM11" s="258"/>
    </row>
    <row r="12" spans="1:75" s="309" customFormat="1" ht="22.95" customHeight="1" x14ac:dyDescent="0.35">
      <c r="A12" s="300"/>
      <c r="B12" s="301" t="s">
        <v>34</v>
      </c>
      <c r="C12" s="302"/>
      <c r="D12" s="302"/>
      <c r="E12" s="302"/>
      <c r="F12" s="302"/>
      <c r="G12" s="302"/>
      <c r="H12" s="302"/>
      <c r="I12" s="302"/>
      <c r="J12" s="302"/>
      <c r="K12" s="302"/>
      <c r="L12" s="302"/>
      <c r="M12" s="302"/>
      <c r="N12" s="302"/>
      <c r="O12" s="302">
        <v>166</v>
      </c>
      <c r="P12" s="302"/>
      <c r="Q12" s="302">
        <v>121</v>
      </c>
      <c r="R12" s="302">
        <v>45</v>
      </c>
      <c r="S12" s="302"/>
      <c r="T12" s="302">
        <v>0</v>
      </c>
      <c r="U12" s="302">
        <v>0</v>
      </c>
      <c r="V12" s="302"/>
      <c r="W12" s="302"/>
      <c r="X12" s="302">
        <v>0</v>
      </c>
      <c r="Y12" s="303" t="e">
        <v>#DIV/0!</v>
      </c>
      <c r="Z12" s="302">
        <v>0</v>
      </c>
      <c r="AA12" s="302">
        <v>0</v>
      </c>
      <c r="AB12" s="302">
        <v>0</v>
      </c>
      <c r="AC12" s="302">
        <v>0</v>
      </c>
      <c r="AD12" s="302">
        <v>0</v>
      </c>
      <c r="AE12" s="302">
        <v>1000000</v>
      </c>
      <c r="AF12" s="302">
        <v>1196877</v>
      </c>
      <c r="AG12" s="302">
        <v>1230000</v>
      </c>
      <c r="AH12" s="302">
        <v>1600000</v>
      </c>
      <c r="AI12" s="302">
        <v>1800000</v>
      </c>
      <c r="AJ12" s="302">
        <f t="shared" ref="AJ12:AJ20" si="20">+Z12/5*6</f>
        <v>0</v>
      </c>
      <c r="AK12" s="302">
        <f>Sheet1!S3</f>
        <v>0</v>
      </c>
      <c r="AL12" s="302">
        <f>Sheet1!T3</f>
        <v>0</v>
      </c>
      <c r="AM12" s="302">
        <f>+AC12/5*6</f>
        <v>0</v>
      </c>
      <c r="AN12" s="303" t="e">
        <f t="shared" si="9"/>
        <v>#DIV/0!</v>
      </c>
      <c r="AO12" s="304">
        <f t="shared" si="12"/>
        <v>0</v>
      </c>
      <c r="AP12" s="304">
        <f t="shared" ref="AP12:AP35" si="21">+AA12-F12-G12</f>
        <v>0</v>
      </c>
      <c r="AQ12" s="304">
        <f t="shared" si="13"/>
        <v>0</v>
      </c>
      <c r="AR12" s="304">
        <f t="shared" si="14"/>
        <v>0</v>
      </c>
      <c r="AS12" s="302">
        <f t="shared" si="15"/>
        <v>0</v>
      </c>
      <c r="AT12" s="304">
        <f t="shared" si="16"/>
        <v>0</v>
      </c>
      <c r="AU12" s="304">
        <f t="shared" ref="AU12:AU40" si="22">+AA12-U12-V12</f>
        <v>0</v>
      </c>
      <c r="AV12" s="304">
        <f t="shared" si="17"/>
        <v>0</v>
      </c>
      <c r="AW12" s="304">
        <f t="shared" si="18"/>
        <v>0</v>
      </c>
      <c r="AX12" s="304">
        <f t="shared" si="19"/>
        <v>0</v>
      </c>
      <c r="AY12" s="304"/>
      <c r="AZ12" s="302"/>
      <c r="BA12" s="305" t="e">
        <f t="shared" si="10"/>
        <v>#DIV/0!</v>
      </c>
      <c r="BB12" s="306"/>
      <c r="BC12" s="306"/>
      <c r="BD12" s="306"/>
      <c r="BE12" s="302">
        <v>2070</v>
      </c>
      <c r="BF12" s="307">
        <v>961669</v>
      </c>
      <c r="BG12" s="308">
        <f>+T11-O11</f>
        <v>1226762</v>
      </c>
      <c r="BH12" s="308"/>
    </row>
    <row r="13" spans="1:75" s="309" customFormat="1" ht="24.6" customHeight="1" x14ac:dyDescent="0.35">
      <c r="A13" s="300"/>
      <c r="B13" s="301" t="s">
        <v>384</v>
      </c>
      <c r="C13" s="302"/>
      <c r="D13" s="302"/>
      <c r="E13" s="302"/>
      <c r="F13" s="302"/>
      <c r="G13" s="302"/>
      <c r="H13" s="302"/>
      <c r="I13" s="302"/>
      <c r="J13" s="302"/>
      <c r="K13" s="302"/>
      <c r="L13" s="302"/>
      <c r="M13" s="302"/>
      <c r="N13" s="302"/>
      <c r="O13" s="302">
        <v>1093</v>
      </c>
      <c r="P13" s="302"/>
      <c r="Q13" s="302">
        <v>1093</v>
      </c>
      <c r="R13" s="302"/>
      <c r="S13" s="302"/>
      <c r="T13" s="302">
        <v>0</v>
      </c>
      <c r="U13" s="302">
        <v>0</v>
      </c>
      <c r="V13" s="302"/>
      <c r="W13" s="302"/>
      <c r="X13" s="302">
        <v>0</v>
      </c>
      <c r="Y13" s="303" t="e">
        <v>#DIV/0!</v>
      </c>
      <c r="Z13" s="302">
        <v>0</v>
      </c>
      <c r="AA13" s="302">
        <v>0</v>
      </c>
      <c r="AB13" s="302">
        <v>0</v>
      </c>
      <c r="AC13" s="302">
        <v>0</v>
      </c>
      <c r="AD13" s="302">
        <v>0</v>
      </c>
      <c r="AE13" s="302">
        <v>613700</v>
      </c>
      <c r="AF13" s="302">
        <v>547929</v>
      </c>
      <c r="AG13" s="302">
        <v>660931</v>
      </c>
      <c r="AH13" s="302">
        <v>507800</v>
      </c>
      <c r="AI13" s="302">
        <v>507800</v>
      </c>
      <c r="AJ13" s="302">
        <f t="shared" si="20"/>
        <v>0</v>
      </c>
      <c r="AK13" s="302">
        <f>Sheet1!S4</f>
        <v>0</v>
      </c>
      <c r="AL13" s="302">
        <f>+AB13/5*6</f>
        <v>0</v>
      </c>
      <c r="AM13" s="302">
        <f>+AC13/5*6</f>
        <v>0</v>
      </c>
      <c r="AN13" s="303" t="e">
        <f t="shared" si="9"/>
        <v>#DIV/0!</v>
      </c>
      <c r="AO13" s="304">
        <f t="shared" si="12"/>
        <v>0</v>
      </c>
      <c r="AP13" s="304">
        <f t="shared" si="21"/>
        <v>0</v>
      </c>
      <c r="AQ13" s="304">
        <f t="shared" si="13"/>
        <v>0</v>
      </c>
      <c r="AR13" s="304">
        <f t="shared" si="14"/>
        <v>0</v>
      </c>
      <c r="AS13" s="302">
        <f t="shared" si="15"/>
        <v>0</v>
      </c>
      <c r="AT13" s="304">
        <f t="shared" si="16"/>
        <v>0</v>
      </c>
      <c r="AU13" s="304">
        <f t="shared" si="22"/>
        <v>0</v>
      </c>
      <c r="AV13" s="304">
        <f t="shared" si="17"/>
        <v>0</v>
      </c>
      <c r="AW13" s="304">
        <f t="shared" si="18"/>
        <v>0</v>
      </c>
      <c r="AX13" s="304">
        <f t="shared" si="19"/>
        <v>0</v>
      </c>
      <c r="AY13" s="304"/>
      <c r="AZ13" s="302"/>
      <c r="BA13" s="305" t="e">
        <f t="shared" si="10"/>
        <v>#DIV/0!</v>
      </c>
      <c r="BB13" s="306"/>
      <c r="BC13" s="306"/>
      <c r="BD13" s="306"/>
      <c r="BE13" s="302">
        <v>171</v>
      </c>
      <c r="BF13" s="307">
        <f>+BF12-R11</f>
        <v>1</v>
      </c>
      <c r="BG13" s="308">
        <f>+O11-O31</f>
        <v>404054</v>
      </c>
      <c r="BH13" s="308"/>
      <c r="BM13" s="302">
        <f>+BM11-BM12</f>
        <v>0</v>
      </c>
      <c r="BN13" s="308">
        <f>+AG13/AE13*100</f>
        <v>107.69610558905003</v>
      </c>
    </row>
    <row r="14" spans="1:75" ht="20.100000000000001" customHeight="1" x14ac:dyDescent="0.35">
      <c r="A14" s="273">
        <v>1</v>
      </c>
      <c r="B14" s="274" t="s">
        <v>15</v>
      </c>
      <c r="C14" s="268">
        <v>287000</v>
      </c>
      <c r="D14" s="268">
        <v>374646</v>
      </c>
      <c r="E14" s="268">
        <v>319000</v>
      </c>
      <c r="F14" s="268">
        <v>0</v>
      </c>
      <c r="G14" s="268">
        <v>0</v>
      </c>
      <c r="H14" s="268">
        <v>311000</v>
      </c>
      <c r="I14" s="268">
        <v>8000</v>
      </c>
      <c r="J14" s="268">
        <v>319000</v>
      </c>
      <c r="K14" s="268">
        <v>0</v>
      </c>
      <c r="L14" s="268">
        <v>0</v>
      </c>
      <c r="M14" s="268">
        <v>309204</v>
      </c>
      <c r="N14" s="268">
        <v>9796</v>
      </c>
      <c r="O14" s="268">
        <v>159559</v>
      </c>
      <c r="P14" s="268"/>
      <c r="Q14" s="268">
        <v>21</v>
      </c>
      <c r="R14" s="267">
        <v>157496</v>
      </c>
      <c r="S14" s="267">
        <v>2042</v>
      </c>
      <c r="T14" s="268">
        <v>319035</v>
      </c>
      <c r="U14" s="267">
        <v>0</v>
      </c>
      <c r="V14" s="267">
        <v>35</v>
      </c>
      <c r="W14" s="267">
        <v>309204</v>
      </c>
      <c r="X14" s="267">
        <v>9796</v>
      </c>
      <c r="Y14" s="253">
        <v>100.01097178683385</v>
      </c>
      <c r="Z14" s="268">
        <v>422000</v>
      </c>
      <c r="AA14" s="267">
        <v>0</v>
      </c>
      <c r="AB14" s="267">
        <v>0</v>
      </c>
      <c r="AC14" s="267">
        <v>411629</v>
      </c>
      <c r="AD14" s="267">
        <v>10371</v>
      </c>
      <c r="AE14" s="268">
        <v>422000</v>
      </c>
      <c r="AF14" s="268">
        <v>292289</v>
      </c>
      <c r="AG14" s="268">
        <v>396000</v>
      </c>
      <c r="AH14" s="268">
        <v>340000</v>
      </c>
      <c r="AI14" s="268">
        <v>340000</v>
      </c>
      <c r="AJ14" s="267"/>
      <c r="AK14" s="267">
        <f>Sheet1!S5</f>
        <v>0</v>
      </c>
      <c r="AL14" s="267">
        <f>+AE14-AM14</f>
        <v>411629</v>
      </c>
      <c r="AM14" s="267">
        <v>10371</v>
      </c>
      <c r="AN14" s="253">
        <f t="shared" si="9"/>
        <v>100.01097178683385</v>
      </c>
      <c r="AO14" s="269">
        <f t="shared" si="12"/>
        <v>103000</v>
      </c>
      <c r="AP14" s="269">
        <f t="shared" si="21"/>
        <v>0</v>
      </c>
      <c r="AQ14" s="269">
        <f t="shared" si="13"/>
        <v>0</v>
      </c>
      <c r="AR14" s="269">
        <f t="shared" si="14"/>
        <v>100629</v>
      </c>
      <c r="AS14" s="267">
        <f t="shared" si="15"/>
        <v>2371</v>
      </c>
      <c r="AT14" s="269">
        <f t="shared" si="16"/>
        <v>102965</v>
      </c>
      <c r="AU14" s="269">
        <f t="shared" si="22"/>
        <v>-35</v>
      </c>
      <c r="AV14" s="269">
        <f t="shared" si="17"/>
        <v>-35</v>
      </c>
      <c r="AW14" s="269">
        <f t="shared" si="18"/>
        <v>102425</v>
      </c>
      <c r="AX14" s="269">
        <f t="shared" si="19"/>
        <v>575</v>
      </c>
      <c r="AY14" s="269">
        <f t="shared" ref="AY14:AY26" si="23">+Z14/E14*100</f>
        <v>132.28840125391849</v>
      </c>
      <c r="AZ14" s="267">
        <f t="shared" ref="AZ14:AZ46" si="24">+Z14/T14*100</f>
        <v>132.27388844484148</v>
      </c>
      <c r="BA14" s="254">
        <f t="shared" si="10"/>
        <v>100.01097178683385</v>
      </c>
      <c r="BB14" s="270"/>
      <c r="BC14" s="270"/>
      <c r="BD14" s="270"/>
      <c r="BE14" s="267">
        <v>115205</v>
      </c>
      <c r="BF14" s="234">
        <f>+BF13/5*6</f>
        <v>1.2000000000000002</v>
      </c>
      <c r="BG14" s="245">
        <f>+T11-T31</f>
        <v>757444</v>
      </c>
      <c r="BH14" s="233"/>
      <c r="BI14" s="234"/>
      <c r="BJ14" s="275"/>
      <c r="BK14" s="275"/>
      <c r="BL14" s="275"/>
      <c r="BM14" s="275"/>
      <c r="BN14" s="308">
        <f t="shared" ref="BN14:BN41" si="25">+AG14/AE14*100</f>
        <v>93.838862559241704</v>
      </c>
    </row>
    <row r="15" spans="1:75" ht="20.100000000000001" customHeight="1" x14ac:dyDescent="0.35">
      <c r="A15" s="273" t="s">
        <v>16</v>
      </c>
      <c r="B15" s="274" t="s">
        <v>17</v>
      </c>
      <c r="C15" s="268"/>
      <c r="D15" s="268"/>
      <c r="E15" s="268">
        <v>193000</v>
      </c>
      <c r="F15" s="268"/>
      <c r="G15" s="268"/>
      <c r="H15" s="268">
        <v>193000</v>
      </c>
      <c r="I15" s="268"/>
      <c r="J15" s="268">
        <v>193000</v>
      </c>
      <c r="K15" s="268"/>
      <c r="L15" s="268"/>
      <c r="M15" s="268">
        <v>193000</v>
      </c>
      <c r="N15" s="268"/>
      <c r="O15" s="268">
        <v>0</v>
      </c>
      <c r="P15" s="268"/>
      <c r="Q15" s="268"/>
      <c r="R15" s="268"/>
      <c r="S15" s="268"/>
      <c r="T15" s="268">
        <v>0</v>
      </c>
      <c r="U15" s="267">
        <v>0</v>
      </c>
      <c r="V15" s="267">
        <v>0</v>
      </c>
      <c r="W15" s="267">
        <v>0</v>
      </c>
      <c r="X15" s="267">
        <v>0</v>
      </c>
      <c r="Y15" s="253">
        <v>0</v>
      </c>
      <c r="Z15" s="268">
        <v>0</v>
      </c>
      <c r="AA15" s="267">
        <v>0</v>
      </c>
      <c r="AB15" s="267">
        <v>0</v>
      </c>
      <c r="AC15" s="267">
        <v>0</v>
      </c>
      <c r="AD15" s="267">
        <v>0</v>
      </c>
      <c r="AE15" s="268">
        <v>267000</v>
      </c>
      <c r="AF15" s="268">
        <v>159016</v>
      </c>
      <c r="AG15" s="268">
        <v>224000</v>
      </c>
      <c r="AH15" s="268">
        <v>190000</v>
      </c>
      <c r="AI15" s="268">
        <v>190000</v>
      </c>
      <c r="AJ15" s="267">
        <f t="shared" si="20"/>
        <v>0</v>
      </c>
      <c r="AK15" s="267">
        <f t="shared" ref="AK15:AK20" si="26">+AA15/5*6</f>
        <v>0</v>
      </c>
      <c r="AL15" s="267">
        <f t="shared" ref="AL15:AL20" si="27">+AB15/5*6</f>
        <v>0</v>
      </c>
      <c r="AM15" s="267">
        <v>0</v>
      </c>
      <c r="AN15" s="253">
        <f t="shared" si="9"/>
        <v>0</v>
      </c>
      <c r="AO15" s="269">
        <f t="shared" si="12"/>
        <v>-193000</v>
      </c>
      <c r="AP15" s="269">
        <f t="shared" si="21"/>
        <v>0</v>
      </c>
      <c r="AQ15" s="269">
        <f t="shared" si="13"/>
        <v>0</v>
      </c>
      <c r="AR15" s="269">
        <f t="shared" si="14"/>
        <v>-193000</v>
      </c>
      <c r="AS15" s="267">
        <f t="shared" si="15"/>
        <v>0</v>
      </c>
      <c r="AT15" s="269">
        <f t="shared" si="16"/>
        <v>0</v>
      </c>
      <c r="AU15" s="269">
        <f t="shared" si="22"/>
        <v>0</v>
      </c>
      <c r="AV15" s="269">
        <f t="shared" si="17"/>
        <v>0</v>
      </c>
      <c r="AW15" s="269">
        <f t="shared" si="18"/>
        <v>0</v>
      </c>
      <c r="AX15" s="269">
        <f t="shared" si="19"/>
        <v>0</v>
      </c>
      <c r="AY15" s="269">
        <f t="shared" si="23"/>
        <v>0</v>
      </c>
      <c r="AZ15" s="267" t="e">
        <f t="shared" si="24"/>
        <v>#DIV/0!</v>
      </c>
      <c r="BA15" s="254">
        <f t="shared" si="10"/>
        <v>0</v>
      </c>
      <c r="BB15" s="270"/>
      <c r="BC15" s="270"/>
      <c r="BD15" s="270"/>
      <c r="BE15" s="268"/>
      <c r="BG15" s="233"/>
      <c r="BH15" s="233"/>
      <c r="BN15" s="308">
        <f t="shared" si="25"/>
        <v>83.895131086142328</v>
      </c>
    </row>
    <row r="16" spans="1:75" ht="21" customHeight="1" x14ac:dyDescent="0.35">
      <c r="A16" s="273" t="s">
        <v>18</v>
      </c>
      <c r="B16" s="276" t="s">
        <v>19</v>
      </c>
      <c r="C16" s="268"/>
      <c r="D16" s="268"/>
      <c r="E16" s="268">
        <v>126000</v>
      </c>
      <c r="F16" s="268"/>
      <c r="G16" s="268"/>
      <c r="H16" s="268">
        <v>118000</v>
      </c>
      <c r="I16" s="268">
        <v>8000</v>
      </c>
      <c r="J16" s="268">
        <v>126000</v>
      </c>
      <c r="K16" s="268"/>
      <c r="L16" s="268"/>
      <c r="M16" s="268">
        <v>116204</v>
      </c>
      <c r="N16" s="268">
        <v>9796</v>
      </c>
      <c r="O16" s="268">
        <v>0</v>
      </c>
      <c r="P16" s="268"/>
      <c r="Q16" s="268"/>
      <c r="R16" s="268"/>
      <c r="S16" s="268"/>
      <c r="T16" s="268">
        <v>0</v>
      </c>
      <c r="U16" s="267">
        <v>0</v>
      </c>
      <c r="V16" s="267">
        <v>0</v>
      </c>
      <c r="W16" s="267">
        <v>0</v>
      </c>
      <c r="X16" s="267">
        <v>0</v>
      </c>
      <c r="Y16" s="253">
        <v>0</v>
      </c>
      <c r="Z16" s="268">
        <v>0</v>
      </c>
      <c r="AA16" s="267">
        <v>0</v>
      </c>
      <c r="AB16" s="267">
        <v>0</v>
      </c>
      <c r="AC16" s="267">
        <v>0</v>
      </c>
      <c r="AD16" s="267">
        <v>0</v>
      </c>
      <c r="AE16" s="268">
        <v>155000</v>
      </c>
      <c r="AF16" s="268">
        <v>133273</v>
      </c>
      <c r="AG16" s="268">
        <v>172000</v>
      </c>
      <c r="AH16" s="268">
        <v>150000</v>
      </c>
      <c r="AI16" s="268">
        <v>150000</v>
      </c>
      <c r="AJ16" s="267">
        <f t="shared" si="20"/>
        <v>0</v>
      </c>
      <c r="AK16" s="267">
        <f t="shared" si="26"/>
        <v>0</v>
      </c>
      <c r="AL16" s="267">
        <f t="shared" si="27"/>
        <v>0</v>
      </c>
      <c r="AM16" s="267">
        <v>0</v>
      </c>
      <c r="AN16" s="253">
        <f t="shared" si="9"/>
        <v>0</v>
      </c>
      <c r="AO16" s="269">
        <f t="shared" si="12"/>
        <v>-126000</v>
      </c>
      <c r="AP16" s="269">
        <f t="shared" si="21"/>
        <v>0</v>
      </c>
      <c r="AQ16" s="269">
        <f t="shared" si="13"/>
        <v>0</v>
      </c>
      <c r="AR16" s="269">
        <f t="shared" si="14"/>
        <v>-118000</v>
      </c>
      <c r="AS16" s="267">
        <f t="shared" si="15"/>
        <v>-8000</v>
      </c>
      <c r="AT16" s="269">
        <f t="shared" si="16"/>
        <v>0</v>
      </c>
      <c r="AU16" s="269">
        <f t="shared" si="22"/>
        <v>0</v>
      </c>
      <c r="AV16" s="269">
        <f t="shared" si="17"/>
        <v>0</v>
      </c>
      <c r="AW16" s="269">
        <f t="shared" si="18"/>
        <v>0</v>
      </c>
      <c r="AX16" s="269">
        <f t="shared" si="19"/>
        <v>0</v>
      </c>
      <c r="AY16" s="269">
        <f t="shared" si="23"/>
        <v>0</v>
      </c>
      <c r="AZ16" s="267" t="e">
        <f t="shared" si="24"/>
        <v>#DIV/0!</v>
      </c>
      <c r="BA16" s="254">
        <f t="shared" si="10"/>
        <v>0</v>
      </c>
      <c r="BB16" s="270"/>
      <c r="BC16" s="270"/>
      <c r="BD16" s="270"/>
      <c r="BE16" s="268"/>
      <c r="BG16" s="233"/>
      <c r="BH16" s="233"/>
      <c r="BN16" s="308">
        <f t="shared" si="25"/>
        <v>110.96774193548387</v>
      </c>
    </row>
    <row r="17" spans="1:66" ht="20.100000000000001" hidden="1" customHeight="1" x14ac:dyDescent="0.35">
      <c r="A17" s="273"/>
      <c r="B17" s="274" t="s">
        <v>20</v>
      </c>
      <c r="C17" s="268"/>
      <c r="D17" s="268"/>
      <c r="E17" s="268"/>
      <c r="F17" s="268"/>
      <c r="G17" s="268"/>
      <c r="H17" s="268"/>
      <c r="I17" s="268"/>
      <c r="J17" s="268">
        <v>115480</v>
      </c>
      <c r="K17" s="268"/>
      <c r="L17" s="268"/>
      <c r="M17" s="268">
        <v>105684</v>
      </c>
      <c r="N17" s="268">
        <v>9796</v>
      </c>
      <c r="O17" s="268">
        <v>0</v>
      </c>
      <c r="P17" s="268"/>
      <c r="Q17" s="268"/>
      <c r="R17" s="268"/>
      <c r="S17" s="268"/>
      <c r="T17" s="268">
        <v>0</v>
      </c>
      <c r="U17" s="267">
        <v>0</v>
      </c>
      <c r="V17" s="267">
        <v>0</v>
      </c>
      <c r="W17" s="267">
        <v>0</v>
      </c>
      <c r="X17" s="267">
        <v>0</v>
      </c>
      <c r="Y17" s="253">
        <v>0</v>
      </c>
      <c r="Z17" s="268">
        <v>0</v>
      </c>
      <c r="AA17" s="267">
        <v>0</v>
      </c>
      <c r="AB17" s="267">
        <v>0</v>
      </c>
      <c r="AC17" s="267">
        <v>0</v>
      </c>
      <c r="AD17" s="267">
        <v>0</v>
      </c>
      <c r="AE17" s="268">
        <v>0</v>
      </c>
      <c r="AF17" s="268">
        <v>0</v>
      </c>
      <c r="AG17" s="268">
        <v>0</v>
      </c>
      <c r="AH17" s="268">
        <v>0</v>
      </c>
      <c r="AI17" s="268">
        <v>0</v>
      </c>
      <c r="AJ17" s="267">
        <f t="shared" si="20"/>
        <v>0</v>
      </c>
      <c r="AK17" s="267">
        <f t="shared" si="26"/>
        <v>0</v>
      </c>
      <c r="AL17" s="267">
        <f t="shared" si="27"/>
        <v>0</v>
      </c>
      <c r="AM17" s="267">
        <v>0</v>
      </c>
      <c r="AN17" s="253">
        <f t="shared" si="9"/>
        <v>0</v>
      </c>
      <c r="AO17" s="269">
        <f t="shared" si="12"/>
        <v>0</v>
      </c>
      <c r="AP17" s="269">
        <f t="shared" si="21"/>
        <v>0</v>
      </c>
      <c r="AQ17" s="269">
        <f t="shared" si="13"/>
        <v>0</v>
      </c>
      <c r="AR17" s="269">
        <f t="shared" si="14"/>
        <v>0</v>
      </c>
      <c r="AS17" s="267">
        <f t="shared" si="15"/>
        <v>0</v>
      </c>
      <c r="AT17" s="269">
        <f t="shared" si="16"/>
        <v>0</v>
      </c>
      <c r="AU17" s="269">
        <f t="shared" si="22"/>
        <v>0</v>
      </c>
      <c r="AV17" s="269">
        <f t="shared" si="17"/>
        <v>0</v>
      </c>
      <c r="AW17" s="269">
        <f t="shared" si="18"/>
        <v>0</v>
      </c>
      <c r="AX17" s="269">
        <f t="shared" si="19"/>
        <v>0</v>
      </c>
      <c r="AY17" s="269" t="e">
        <f t="shared" si="23"/>
        <v>#DIV/0!</v>
      </c>
      <c r="AZ17" s="267" t="e">
        <f t="shared" si="24"/>
        <v>#DIV/0!</v>
      </c>
      <c r="BA17" s="254">
        <f t="shared" si="10"/>
        <v>0</v>
      </c>
      <c r="BB17" s="270"/>
      <c r="BC17" s="270"/>
      <c r="BD17" s="270"/>
      <c r="BE17" s="268"/>
      <c r="BG17" s="233"/>
      <c r="BH17" s="233"/>
      <c r="BN17" s="308" t="e">
        <f t="shared" si="25"/>
        <v>#DIV/0!</v>
      </c>
    </row>
    <row r="18" spans="1:66" ht="20.100000000000001" hidden="1" customHeight="1" x14ac:dyDescent="0.35">
      <c r="A18" s="273"/>
      <c r="B18" s="274" t="s">
        <v>21</v>
      </c>
      <c r="C18" s="268"/>
      <c r="D18" s="268"/>
      <c r="E18" s="268"/>
      <c r="F18" s="268"/>
      <c r="G18" s="268"/>
      <c r="H18" s="268"/>
      <c r="I18" s="268"/>
      <c r="J18" s="268">
        <v>10000</v>
      </c>
      <c r="K18" s="268"/>
      <c r="L18" s="268"/>
      <c r="M18" s="268">
        <v>10000</v>
      </c>
      <c r="N18" s="268"/>
      <c r="O18" s="268">
        <v>0</v>
      </c>
      <c r="P18" s="268"/>
      <c r="Q18" s="268"/>
      <c r="R18" s="268"/>
      <c r="S18" s="268"/>
      <c r="T18" s="268">
        <v>0</v>
      </c>
      <c r="U18" s="267">
        <v>0</v>
      </c>
      <c r="V18" s="267">
        <v>0</v>
      </c>
      <c r="W18" s="267">
        <v>0</v>
      </c>
      <c r="X18" s="267">
        <v>0</v>
      </c>
      <c r="Y18" s="253">
        <v>0</v>
      </c>
      <c r="Z18" s="268">
        <v>0</v>
      </c>
      <c r="AA18" s="267">
        <v>0</v>
      </c>
      <c r="AB18" s="267">
        <v>0</v>
      </c>
      <c r="AC18" s="267">
        <v>0</v>
      </c>
      <c r="AD18" s="267">
        <v>0</v>
      </c>
      <c r="AE18" s="268">
        <v>0</v>
      </c>
      <c r="AF18" s="268">
        <v>0</v>
      </c>
      <c r="AG18" s="268">
        <v>0</v>
      </c>
      <c r="AH18" s="268">
        <v>0</v>
      </c>
      <c r="AI18" s="268">
        <v>0</v>
      </c>
      <c r="AJ18" s="267">
        <f t="shared" si="20"/>
        <v>0</v>
      </c>
      <c r="AK18" s="267">
        <f t="shared" si="26"/>
        <v>0</v>
      </c>
      <c r="AL18" s="267">
        <f t="shared" si="27"/>
        <v>0</v>
      </c>
      <c r="AM18" s="267">
        <v>0</v>
      </c>
      <c r="AN18" s="253">
        <f t="shared" si="9"/>
        <v>0</v>
      </c>
      <c r="AO18" s="269">
        <f t="shared" si="12"/>
        <v>0</v>
      </c>
      <c r="AP18" s="269">
        <f t="shared" si="21"/>
        <v>0</v>
      </c>
      <c r="AQ18" s="269">
        <f t="shared" si="13"/>
        <v>0</v>
      </c>
      <c r="AR18" s="269">
        <f t="shared" si="14"/>
        <v>0</v>
      </c>
      <c r="AS18" s="267">
        <f t="shared" si="15"/>
        <v>0</v>
      </c>
      <c r="AT18" s="269">
        <f t="shared" si="16"/>
        <v>0</v>
      </c>
      <c r="AU18" s="269">
        <f t="shared" si="22"/>
        <v>0</v>
      </c>
      <c r="AV18" s="269">
        <f t="shared" si="17"/>
        <v>0</v>
      </c>
      <c r="AW18" s="269">
        <f t="shared" si="18"/>
        <v>0</v>
      </c>
      <c r="AX18" s="269">
        <f t="shared" si="19"/>
        <v>0</v>
      </c>
      <c r="AY18" s="269" t="e">
        <f t="shared" si="23"/>
        <v>#DIV/0!</v>
      </c>
      <c r="AZ18" s="267" t="e">
        <f t="shared" si="24"/>
        <v>#DIV/0!</v>
      </c>
      <c r="BA18" s="254">
        <f t="shared" si="10"/>
        <v>0</v>
      </c>
      <c r="BB18" s="270"/>
      <c r="BC18" s="270"/>
      <c r="BD18" s="270"/>
      <c r="BE18" s="268"/>
      <c r="BG18" s="233"/>
      <c r="BH18" s="233"/>
      <c r="BN18" s="308" t="e">
        <f t="shared" si="25"/>
        <v>#DIV/0!</v>
      </c>
    </row>
    <row r="19" spans="1:66" ht="20.100000000000001" hidden="1" customHeight="1" x14ac:dyDescent="0.35">
      <c r="A19" s="273"/>
      <c r="B19" s="274" t="s">
        <v>22</v>
      </c>
      <c r="C19" s="268"/>
      <c r="D19" s="268"/>
      <c r="E19" s="268"/>
      <c r="F19" s="268"/>
      <c r="G19" s="268"/>
      <c r="H19" s="268"/>
      <c r="I19" s="268"/>
      <c r="J19" s="268">
        <v>20</v>
      </c>
      <c r="K19" s="268"/>
      <c r="L19" s="268"/>
      <c r="M19" s="268">
        <v>20</v>
      </c>
      <c r="N19" s="268"/>
      <c r="O19" s="268">
        <v>0</v>
      </c>
      <c r="P19" s="268"/>
      <c r="Q19" s="268"/>
      <c r="R19" s="268"/>
      <c r="S19" s="268"/>
      <c r="T19" s="268">
        <v>0</v>
      </c>
      <c r="U19" s="267">
        <v>0</v>
      </c>
      <c r="V19" s="267">
        <v>0</v>
      </c>
      <c r="W19" s="267">
        <v>0</v>
      </c>
      <c r="X19" s="267">
        <v>0</v>
      </c>
      <c r="Y19" s="253">
        <v>0</v>
      </c>
      <c r="Z19" s="268">
        <v>0</v>
      </c>
      <c r="AA19" s="267">
        <v>0</v>
      </c>
      <c r="AB19" s="267">
        <v>0</v>
      </c>
      <c r="AC19" s="267">
        <v>0</v>
      </c>
      <c r="AD19" s="267">
        <v>0</v>
      </c>
      <c r="AE19" s="268">
        <v>0</v>
      </c>
      <c r="AF19" s="268">
        <v>0</v>
      </c>
      <c r="AG19" s="268">
        <v>0</v>
      </c>
      <c r="AH19" s="268">
        <v>0</v>
      </c>
      <c r="AI19" s="268">
        <v>0</v>
      </c>
      <c r="AJ19" s="267">
        <f t="shared" si="20"/>
        <v>0</v>
      </c>
      <c r="AK19" s="267">
        <f t="shared" si="26"/>
        <v>0</v>
      </c>
      <c r="AL19" s="267">
        <f t="shared" si="27"/>
        <v>0</v>
      </c>
      <c r="AM19" s="267">
        <v>0</v>
      </c>
      <c r="AN19" s="253">
        <f t="shared" si="9"/>
        <v>0</v>
      </c>
      <c r="AO19" s="269">
        <f t="shared" si="12"/>
        <v>0</v>
      </c>
      <c r="AP19" s="269">
        <f t="shared" si="21"/>
        <v>0</v>
      </c>
      <c r="AQ19" s="269">
        <f t="shared" si="13"/>
        <v>0</v>
      </c>
      <c r="AR19" s="269">
        <f t="shared" si="14"/>
        <v>0</v>
      </c>
      <c r="AS19" s="267">
        <f t="shared" si="15"/>
        <v>0</v>
      </c>
      <c r="AT19" s="269">
        <f t="shared" si="16"/>
        <v>0</v>
      </c>
      <c r="AU19" s="269">
        <f t="shared" si="22"/>
        <v>0</v>
      </c>
      <c r="AV19" s="269">
        <f t="shared" si="17"/>
        <v>0</v>
      </c>
      <c r="AW19" s="269">
        <f t="shared" si="18"/>
        <v>0</v>
      </c>
      <c r="AX19" s="269">
        <f t="shared" si="19"/>
        <v>0</v>
      </c>
      <c r="AY19" s="269" t="e">
        <f t="shared" si="23"/>
        <v>#DIV/0!</v>
      </c>
      <c r="AZ19" s="267" t="e">
        <f t="shared" si="24"/>
        <v>#DIV/0!</v>
      </c>
      <c r="BA19" s="254">
        <f t="shared" si="10"/>
        <v>0</v>
      </c>
      <c r="BB19" s="270"/>
      <c r="BC19" s="270"/>
      <c r="BD19" s="270"/>
      <c r="BE19" s="268"/>
      <c r="BG19" s="233"/>
      <c r="BH19" s="233"/>
      <c r="BN19" s="308" t="e">
        <f t="shared" si="25"/>
        <v>#DIV/0!</v>
      </c>
    </row>
    <row r="20" spans="1:66" ht="20.100000000000001" hidden="1" customHeight="1" x14ac:dyDescent="0.35">
      <c r="A20" s="273"/>
      <c r="B20" s="274" t="s">
        <v>23</v>
      </c>
      <c r="C20" s="268"/>
      <c r="D20" s="268"/>
      <c r="E20" s="268"/>
      <c r="F20" s="268"/>
      <c r="G20" s="268"/>
      <c r="H20" s="268"/>
      <c r="I20" s="268"/>
      <c r="J20" s="268">
        <v>500</v>
      </c>
      <c r="K20" s="268"/>
      <c r="L20" s="268"/>
      <c r="M20" s="268">
        <v>500</v>
      </c>
      <c r="N20" s="268"/>
      <c r="O20" s="268">
        <v>0</v>
      </c>
      <c r="P20" s="268"/>
      <c r="Q20" s="268"/>
      <c r="R20" s="268"/>
      <c r="S20" s="268"/>
      <c r="T20" s="268">
        <v>0</v>
      </c>
      <c r="U20" s="267">
        <v>0</v>
      </c>
      <c r="V20" s="267">
        <v>0</v>
      </c>
      <c r="W20" s="267">
        <v>0</v>
      </c>
      <c r="X20" s="267">
        <v>0</v>
      </c>
      <c r="Y20" s="253">
        <v>0</v>
      </c>
      <c r="Z20" s="268">
        <v>0</v>
      </c>
      <c r="AA20" s="267">
        <v>0</v>
      </c>
      <c r="AB20" s="267">
        <v>0</v>
      </c>
      <c r="AC20" s="267">
        <v>0</v>
      </c>
      <c r="AD20" s="267">
        <v>0</v>
      </c>
      <c r="AE20" s="268">
        <v>0</v>
      </c>
      <c r="AF20" s="268">
        <v>0</v>
      </c>
      <c r="AG20" s="268">
        <v>0</v>
      </c>
      <c r="AH20" s="268">
        <v>0</v>
      </c>
      <c r="AI20" s="268">
        <v>0</v>
      </c>
      <c r="AJ20" s="267">
        <f t="shared" si="20"/>
        <v>0</v>
      </c>
      <c r="AK20" s="267">
        <f t="shared" si="26"/>
        <v>0</v>
      </c>
      <c r="AL20" s="267">
        <f t="shared" si="27"/>
        <v>0</v>
      </c>
      <c r="AM20" s="267">
        <v>0</v>
      </c>
      <c r="AN20" s="253">
        <f t="shared" si="9"/>
        <v>0</v>
      </c>
      <c r="AO20" s="269">
        <f t="shared" si="12"/>
        <v>0</v>
      </c>
      <c r="AP20" s="269">
        <f t="shared" si="21"/>
        <v>0</v>
      </c>
      <c r="AQ20" s="269">
        <f t="shared" si="13"/>
        <v>0</v>
      </c>
      <c r="AR20" s="269">
        <f t="shared" si="14"/>
        <v>0</v>
      </c>
      <c r="AS20" s="267">
        <f t="shared" si="15"/>
        <v>0</v>
      </c>
      <c r="AT20" s="269">
        <f t="shared" si="16"/>
        <v>0</v>
      </c>
      <c r="AU20" s="269">
        <f t="shared" si="22"/>
        <v>0</v>
      </c>
      <c r="AV20" s="269">
        <f t="shared" si="17"/>
        <v>0</v>
      </c>
      <c r="AW20" s="269">
        <f t="shared" si="18"/>
        <v>0</v>
      </c>
      <c r="AX20" s="269">
        <f t="shared" si="19"/>
        <v>0</v>
      </c>
      <c r="AY20" s="269" t="e">
        <f t="shared" si="23"/>
        <v>#DIV/0!</v>
      </c>
      <c r="AZ20" s="267" t="e">
        <f t="shared" si="24"/>
        <v>#DIV/0!</v>
      </c>
      <c r="BA20" s="254">
        <f t="shared" si="10"/>
        <v>0</v>
      </c>
      <c r="BB20" s="270"/>
      <c r="BC20" s="270"/>
      <c r="BD20" s="270"/>
      <c r="BE20" s="268"/>
      <c r="BG20" s="233"/>
      <c r="BH20" s="233"/>
      <c r="BN20" s="308" t="e">
        <f t="shared" si="25"/>
        <v>#DIV/0!</v>
      </c>
    </row>
    <row r="21" spans="1:66" ht="20.100000000000001" customHeight="1" x14ac:dyDescent="0.35">
      <c r="A21" s="273">
        <v>2</v>
      </c>
      <c r="B21" s="274" t="s">
        <v>24</v>
      </c>
      <c r="C21" s="268">
        <v>32000</v>
      </c>
      <c r="D21" s="268">
        <v>42170</v>
      </c>
      <c r="E21" s="268">
        <v>34700</v>
      </c>
      <c r="F21" s="268"/>
      <c r="G21" s="268">
        <v>1600</v>
      </c>
      <c r="H21" s="268">
        <v>15914</v>
      </c>
      <c r="I21" s="268">
        <v>17186</v>
      </c>
      <c r="J21" s="268">
        <v>42315</v>
      </c>
      <c r="K21" s="268">
        <v>0</v>
      </c>
      <c r="L21" s="268">
        <v>1600</v>
      </c>
      <c r="M21" s="268">
        <v>18260</v>
      </c>
      <c r="N21" s="268">
        <v>22455</v>
      </c>
      <c r="O21" s="268">
        <v>48949</v>
      </c>
      <c r="P21" s="268"/>
      <c r="Q21" s="268">
        <v>5451</v>
      </c>
      <c r="R21" s="268">
        <v>21420</v>
      </c>
      <c r="S21" s="268">
        <v>22078</v>
      </c>
      <c r="T21" s="268">
        <v>71590</v>
      </c>
      <c r="U21" s="267">
        <v>0</v>
      </c>
      <c r="V21" s="267">
        <v>6156</v>
      </c>
      <c r="W21" s="267">
        <v>31620</v>
      </c>
      <c r="X21" s="267">
        <v>33814</v>
      </c>
      <c r="Y21" s="253">
        <v>169.18350466737564</v>
      </c>
      <c r="Z21" s="268">
        <v>50000</v>
      </c>
      <c r="AA21" s="267">
        <v>13500</v>
      </c>
      <c r="AB21" s="267">
        <v>1600</v>
      </c>
      <c r="AC21" s="267">
        <v>12800</v>
      </c>
      <c r="AD21" s="267">
        <v>23700</v>
      </c>
      <c r="AE21" s="268">
        <v>50000</v>
      </c>
      <c r="AF21" s="268">
        <v>34518</v>
      </c>
      <c r="AG21" s="268">
        <v>36000</v>
      </c>
      <c r="AH21" s="268">
        <v>30000</v>
      </c>
      <c r="AI21" s="268">
        <v>30000</v>
      </c>
      <c r="AJ21" s="267">
        <f>+AE21-AL21-AM21</f>
        <v>13500</v>
      </c>
      <c r="AK21" s="267">
        <v>1600</v>
      </c>
      <c r="AL21" s="267">
        <v>12800</v>
      </c>
      <c r="AM21" s="267">
        <v>23700</v>
      </c>
      <c r="AN21" s="253">
        <f t="shared" si="9"/>
        <v>169.18350466737564</v>
      </c>
      <c r="AO21" s="269">
        <f t="shared" si="12"/>
        <v>15300</v>
      </c>
      <c r="AP21" s="269">
        <f t="shared" si="21"/>
        <v>11900</v>
      </c>
      <c r="AQ21" s="269">
        <f t="shared" si="13"/>
        <v>0</v>
      </c>
      <c r="AR21" s="269">
        <f t="shared" si="14"/>
        <v>-3114</v>
      </c>
      <c r="AS21" s="267">
        <f t="shared" si="15"/>
        <v>6514</v>
      </c>
      <c r="AT21" s="269">
        <f t="shared" si="16"/>
        <v>-21590</v>
      </c>
      <c r="AU21" s="269">
        <f t="shared" si="22"/>
        <v>7344</v>
      </c>
      <c r="AV21" s="269">
        <f t="shared" si="17"/>
        <v>-4556</v>
      </c>
      <c r="AW21" s="269">
        <f t="shared" si="18"/>
        <v>-18820</v>
      </c>
      <c r="AX21" s="269">
        <f t="shared" si="19"/>
        <v>-10114</v>
      </c>
      <c r="AY21" s="269">
        <f t="shared" si="23"/>
        <v>144.09221902017291</v>
      </c>
      <c r="AZ21" s="267">
        <f t="shared" si="24"/>
        <v>69.842156725799697</v>
      </c>
      <c r="BA21" s="254">
        <f t="shared" si="10"/>
        <v>169.18350466737564</v>
      </c>
      <c r="BB21" s="270"/>
      <c r="BC21" s="270"/>
      <c r="BD21" s="270"/>
      <c r="BE21" s="268">
        <v>14142</v>
      </c>
      <c r="BF21" s="234">
        <f>+BF14/J11*100</f>
        <v>4.8257463217759393E-5</v>
      </c>
      <c r="BG21" s="234">
        <f>+J11-J31</f>
        <v>466662</v>
      </c>
      <c r="BH21" s="245"/>
      <c r="BI21" s="245"/>
      <c r="BN21" s="308">
        <f t="shared" si="25"/>
        <v>72</v>
      </c>
    </row>
    <row r="22" spans="1:66" ht="20.100000000000001" hidden="1" customHeight="1" x14ac:dyDescent="0.35">
      <c r="A22" s="273"/>
      <c r="B22" s="274" t="s">
        <v>25</v>
      </c>
      <c r="C22" s="268"/>
      <c r="D22" s="268"/>
      <c r="E22" s="268">
        <v>13700</v>
      </c>
      <c r="F22" s="268"/>
      <c r="G22" s="268">
        <v>1600</v>
      </c>
      <c r="H22" s="268">
        <v>5414</v>
      </c>
      <c r="I22" s="268">
        <v>6686</v>
      </c>
      <c r="J22" s="268">
        <v>7595</v>
      </c>
      <c r="K22" s="268"/>
      <c r="L22" s="268">
        <v>1600</v>
      </c>
      <c r="M22" s="268">
        <v>900</v>
      </c>
      <c r="N22" s="268">
        <v>5095</v>
      </c>
      <c r="O22" s="268">
        <v>0</v>
      </c>
      <c r="P22" s="268"/>
      <c r="Q22" s="268"/>
      <c r="R22" s="268"/>
      <c r="S22" s="268"/>
      <c r="T22" s="268">
        <v>0</v>
      </c>
      <c r="U22" s="267">
        <v>0</v>
      </c>
      <c r="V22" s="267">
        <v>0</v>
      </c>
      <c r="W22" s="267">
        <v>0</v>
      </c>
      <c r="X22" s="267">
        <v>0</v>
      </c>
      <c r="Y22" s="253">
        <v>0</v>
      </c>
      <c r="Z22" s="268">
        <v>0</v>
      </c>
      <c r="AA22" s="267">
        <v>0</v>
      </c>
      <c r="AB22" s="267">
        <v>0</v>
      </c>
      <c r="AC22" s="267">
        <v>0</v>
      </c>
      <c r="AD22" s="267">
        <v>0</v>
      </c>
      <c r="AE22" s="268">
        <v>0</v>
      </c>
      <c r="AF22" s="268">
        <v>0</v>
      </c>
      <c r="AG22" s="268">
        <v>0</v>
      </c>
      <c r="AH22" s="268">
        <v>-13700</v>
      </c>
      <c r="AI22" s="268">
        <v>-15300</v>
      </c>
      <c r="AJ22" s="267">
        <f t="shared" ref="AJ22:AJ26" si="28">+Z22/5*6</f>
        <v>0</v>
      </c>
      <c r="AK22" s="267">
        <f t="shared" ref="AK22:AK26" si="29">+AA22/5*6</f>
        <v>0</v>
      </c>
      <c r="AL22" s="267">
        <f t="shared" ref="AL22:AL23" si="30">+AB22/5*6</f>
        <v>0</v>
      </c>
      <c r="AM22" s="267">
        <v>0</v>
      </c>
      <c r="AN22" s="253">
        <f t="shared" si="9"/>
        <v>0</v>
      </c>
      <c r="AO22" s="269">
        <f t="shared" si="12"/>
        <v>-13700</v>
      </c>
      <c r="AP22" s="269">
        <f t="shared" si="21"/>
        <v>-1600</v>
      </c>
      <c r="AQ22" s="269">
        <f t="shared" si="13"/>
        <v>-1600</v>
      </c>
      <c r="AR22" s="269">
        <f t="shared" si="14"/>
        <v>-5414</v>
      </c>
      <c r="AS22" s="267">
        <f t="shared" si="15"/>
        <v>-6686</v>
      </c>
      <c r="AT22" s="269">
        <f t="shared" si="16"/>
        <v>0</v>
      </c>
      <c r="AU22" s="269">
        <f t="shared" si="22"/>
        <v>0</v>
      </c>
      <c r="AV22" s="269">
        <f t="shared" si="17"/>
        <v>0</v>
      </c>
      <c r="AW22" s="269">
        <f t="shared" si="18"/>
        <v>0</v>
      </c>
      <c r="AX22" s="269">
        <f t="shared" si="19"/>
        <v>0</v>
      </c>
      <c r="AY22" s="269">
        <f t="shared" si="23"/>
        <v>0</v>
      </c>
      <c r="AZ22" s="267" t="e">
        <f t="shared" si="24"/>
        <v>#DIV/0!</v>
      </c>
      <c r="BA22" s="254">
        <f t="shared" si="10"/>
        <v>0</v>
      </c>
      <c r="BB22" s="270"/>
      <c r="BC22" s="270"/>
      <c r="BD22" s="270"/>
      <c r="BE22" s="268"/>
      <c r="BG22" s="233"/>
      <c r="BH22" s="233"/>
      <c r="BN22" s="308" t="e">
        <f t="shared" si="25"/>
        <v>#DIV/0!</v>
      </c>
    </row>
    <row r="23" spans="1:66" ht="34.5" hidden="1" customHeight="1" x14ac:dyDescent="0.35">
      <c r="A23" s="273"/>
      <c r="B23" s="276" t="s">
        <v>26</v>
      </c>
      <c r="C23" s="268"/>
      <c r="D23" s="268"/>
      <c r="E23" s="268">
        <v>21000</v>
      </c>
      <c r="F23" s="268"/>
      <c r="G23" s="268"/>
      <c r="H23" s="268">
        <v>10500</v>
      </c>
      <c r="I23" s="268">
        <v>10500</v>
      </c>
      <c r="J23" s="268">
        <v>34720</v>
      </c>
      <c r="K23" s="268"/>
      <c r="L23" s="268"/>
      <c r="M23" s="268">
        <v>17360</v>
      </c>
      <c r="N23" s="268">
        <v>17360</v>
      </c>
      <c r="O23" s="268">
        <v>0</v>
      </c>
      <c r="P23" s="268"/>
      <c r="Q23" s="268"/>
      <c r="R23" s="268"/>
      <c r="S23" s="268"/>
      <c r="T23" s="268">
        <v>0</v>
      </c>
      <c r="U23" s="267">
        <v>0</v>
      </c>
      <c r="V23" s="267">
        <v>0</v>
      </c>
      <c r="W23" s="267">
        <v>0</v>
      </c>
      <c r="X23" s="267">
        <v>0</v>
      </c>
      <c r="Y23" s="253">
        <v>0</v>
      </c>
      <c r="Z23" s="268">
        <v>0</v>
      </c>
      <c r="AA23" s="267">
        <v>0</v>
      </c>
      <c r="AB23" s="267">
        <v>0</v>
      </c>
      <c r="AC23" s="267">
        <v>0</v>
      </c>
      <c r="AD23" s="267">
        <v>0</v>
      </c>
      <c r="AE23" s="268">
        <v>0</v>
      </c>
      <c r="AF23" s="268">
        <v>0</v>
      </c>
      <c r="AG23" s="268">
        <v>0</v>
      </c>
      <c r="AH23" s="268">
        <v>-21000</v>
      </c>
      <c r="AI23" s="268">
        <v>-21000</v>
      </c>
      <c r="AJ23" s="267">
        <f t="shared" si="28"/>
        <v>0</v>
      </c>
      <c r="AK23" s="267">
        <f t="shared" si="29"/>
        <v>0</v>
      </c>
      <c r="AL23" s="267">
        <f t="shared" si="30"/>
        <v>0</v>
      </c>
      <c r="AM23" s="267">
        <v>0</v>
      </c>
      <c r="AN23" s="253">
        <f t="shared" si="9"/>
        <v>0</v>
      </c>
      <c r="AO23" s="269">
        <f t="shared" si="12"/>
        <v>-21000</v>
      </c>
      <c r="AP23" s="269">
        <f t="shared" si="21"/>
        <v>0</v>
      </c>
      <c r="AQ23" s="269">
        <f t="shared" si="13"/>
        <v>0</v>
      </c>
      <c r="AR23" s="269">
        <f t="shared" si="14"/>
        <v>-10500</v>
      </c>
      <c r="AS23" s="267">
        <f t="shared" si="15"/>
        <v>-10500</v>
      </c>
      <c r="AT23" s="269">
        <f t="shared" si="16"/>
        <v>0</v>
      </c>
      <c r="AU23" s="269">
        <f t="shared" si="22"/>
        <v>0</v>
      </c>
      <c r="AV23" s="269">
        <f t="shared" si="17"/>
        <v>0</v>
      </c>
      <c r="AW23" s="269">
        <f t="shared" si="18"/>
        <v>0</v>
      </c>
      <c r="AX23" s="269">
        <f t="shared" si="19"/>
        <v>0</v>
      </c>
      <c r="AY23" s="269">
        <f t="shared" si="23"/>
        <v>0</v>
      </c>
      <c r="AZ23" s="267" t="e">
        <f t="shared" si="24"/>
        <v>#DIV/0!</v>
      </c>
      <c r="BA23" s="254">
        <f t="shared" si="10"/>
        <v>0</v>
      </c>
      <c r="BB23" s="270"/>
      <c r="BC23" s="270"/>
      <c r="BD23" s="270"/>
      <c r="BE23" s="268"/>
      <c r="BG23" s="233"/>
      <c r="BH23" s="233"/>
      <c r="BN23" s="308" t="e">
        <f t="shared" si="25"/>
        <v>#DIV/0!</v>
      </c>
    </row>
    <row r="24" spans="1:66" ht="20.100000000000001" customHeight="1" x14ac:dyDescent="0.35">
      <c r="A24" s="273">
        <v>3</v>
      </c>
      <c r="B24" s="274" t="s">
        <v>27</v>
      </c>
      <c r="C24" s="268">
        <v>77400</v>
      </c>
      <c r="D24" s="268">
        <v>60039</v>
      </c>
      <c r="E24" s="268">
        <v>70000</v>
      </c>
      <c r="F24" s="268">
        <v>0</v>
      </c>
      <c r="G24" s="268"/>
      <c r="H24" s="268">
        <v>62554</v>
      </c>
      <c r="I24" s="268">
        <v>7446</v>
      </c>
      <c r="J24" s="268">
        <v>70000</v>
      </c>
      <c r="K24" s="268">
        <v>0</v>
      </c>
      <c r="L24" s="268">
        <v>0</v>
      </c>
      <c r="M24" s="268">
        <v>61285</v>
      </c>
      <c r="N24" s="268">
        <v>8715</v>
      </c>
      <c r="O24" s="268">
        <v>50508</v>
      </c>
      <c r="P24" s="268"/>
      <c r="Q24" s="268"/>
      <c r="R24" s="268">
        <v>39227</v>
      </c>
      <c r="S24" s="268">
        <v>11281</v>
      </c>
      <c r="T24" s="268">
        <v>99895</v>
      </c>
      <c r="U24" s="267">
        <v>0</v>
      </c>
      <c r="V24" s="267">
        <v>0</v>
      </c>
      <c r="W24" s="267">
        <v>82310</v>
      </c>
      <c r="X24" s="267">
        <v>17585</v>
      </c>
      <c r="Y24" s="253">
        <v>142.70714285714286</v>
      </c>
      <c r="Z24" s="268">
        <v>96000</v>
      </c>
      <c r="AA24" s="267">
        <v>0</v>
      </c>
      <c r="AB24" s="267">
        <v>0</v>
      </c>
      <c r="AC24" s="267">
        <v>83000</v>
      </c>
      <c r="AD24" s="267">
        <v>13000</v>
      </c>
      <c r="AE24" s="268">
        <v>96000</v>
      </c>
      <c r="AF24" s="268">
        <v>69116</v>
      </c>
      <c r="AG24" s="268">
        <v>72000</v>
      </c>
      <c r="AH24" s="268">
        <v>78000</v>
      </c>
      <c r="AI24" s="268">
        <v>78000</v>
      </c>
      <c r="AJ24" s="267"/>
      <c r="AK24" s="267">
        <f t="shared" si="29"/>
        <v>0</v>
      </c>
      <c r="AL24" s="267">
        <f>+AE24-AM24</f>
        <v>83000</v>
      </c>
      <c r="AM24" s="267">
        <v>13000</v>
      </c>
      <c r="AN24" s="253">
        <f t="shared" si="9"/>
        <v>142.70714285714286</v>
      </c>
      <c r="AO24" s="269">
        <f t="shared" si="12"/>
        <v>26000</v>
      </c>
      <c r="AP24" s="269">
        <f t="shared" si="21"/>
        <v>0</v>
      </c>
      <c r="AQ24" s="269">
        <f t="shared" si="13"/>
        <v>0</v>
      </c>
      <c r="AR24" s="269">
        <f t="shared" si="14"/>
        <v>20446</v>
      </c>
      <c r="AS24" s="267">
        <f t="shared" si="15"/>
        <v>5554</v>
      </c>
      <c r="AT24" s="269">
        <f t="shared" si="16"/>
        <v>-3895</v>
      </c>
      <c r="AU24" s="269">
        <f t="shared" si="22"/>
        <v>0</v>
      </c>
      <c r="AV24" s="269">
        <f t="shared" si="17"/>
        <v>0</v>
      </c>
      <c r="AW24" s="269">
        <f t="shared" si="18"/>
        <v>690</v>
      </c>
      <c r="AX24" s="269">
        <f t="shared" si="19"/>
        <v>-4585</v>
      </c>
      <c r="AY24" s="269">
        <f t="shared" si="23"/>
        <v>137.14285714285714</v>
      </c>
      <c r="AZ24" s="267">
        <f t="shared" si="24"/>
        <v>96.100905951248819</v>
      </c>
      <c r="BA24" s="254">
        <f t="shared" si="10"/>
        <v>142.70714285714286</v>
      </c>
      <c r="BB24" s="270"/>
      <c r="BC24" s="270"/>
      <c r="BD24" s="270"/>
      <c r="BE24" s="268">
        <v>15180</v>
      </c>
      <c r="BF24" s="234">
        <f>+BF14/E11*100</f>
        <v>5.5580618297324818E-5</v>
      </c>
      <c r="BG24" s="245">
        <f>+BG14/BG21*100</f>
        <v>162.3110516819454</v>
      </c>
      <c r="BH24" s="233"/>
      <c r="BN24" s="308">
        <f t="shared" si="25"/>
        <v>75</v>
      </c>
    </row>
    <row r="25" spans="1:66" ht="20.100000000000001" hidden="1" customHeight="1" x14ac:dyDescent="0.35">
      <c r="A25" s="273"/>
      <c r="B25" s="274" t="s">
        <v>28</v>
      </c>
      <c r="C25" s="268"/>
      <c r="D25" s="268"/>
      <c r="E25" s="268">
        <v>55108</v>
      </c>
      <c r="F25" s="268"/>
      <c r="G25" s="268"/>
      <c r="H25" s="268">
        <v>55108</v>
      </c>
      <c r="I25" s="268"/>
      <c r="J25" s="268">
        <v>52570</v>
      </c>
      <c r="K25" s="268"/>
      <c r="L25" s="268"/>
      <c r="M25" s="268">
        <v>52570</v>
      </c>
      <c r="N25" s="268"/>
      <c r="O25" s="268">
        <v>0</v>
      </c>
      <c r="P25" s="268"/>
      <c r="Q25" s="268"/>
      <c r="R25" s="268"/>
      <c r="S25" s="268"/>
      <c r="T25" s="268">
        <v>0</v>
      </c>
      <c r="U25" s="267">
        <v>0</v>
      </c>
      <c r="V25" s="267">
        <v>0</v>
      </c>
      <c r="W25" s="267">
        <v>0</v>
      </c>
      <c r="X25" s="267">
        <v>0</v>
      </c>
      <c r="Y25" s="253">
        <v>0</v>
      </c>
      <c r="Z25" s="268">
        <v>0</v>
      </c>
      <c r="AA25" s="267">
        <v>0</v>
      </c>
      <c r="AB25" s="267">
        <v>0</v>
      </c>
      <c r="AC25" s="267">
        <v>0</v>
      </c>
      <c r="AD25" s="267">
        <v>0</v>
      </c>
      <c r="AE25" s="268">
        <v>0</v>
      </c>
      <c r="AF25" s="268">
        <v>0</v>
      </c>
      <c r="AG25" s="268">
        <v>0</v>
      </c>
      <c r="AH25" s="268">
        <v>-55108</v>
      </c>
      <c r="AI25" s="268">
        <v>-55108</v>
      </c>
      <c r="AJ25" s="267">
        <f t="shared" si="28"/>
        <v>0</v>
      </c>
      <c r="AK25" s="267">
        <f t="shared" si="29"/>
        <v>0</v>
      </c>
      <c r="AL25" s="267">
        <f>+AB25/5*6</f>
        <v>0</v>
      </c>
      <c r="AM25" s="267">
        <v>0</v>
      </c>
      <c r="AN25" s="253">
        <f t="shared" si="9"/>
        <v>0</v>
      </c>
      <c r="AO25" s="269">
        <f t="shared" si="12"/>
        <v>-55108</v>
      </c>
      <c r="AP25" s="269">
        <f t="shared" si="21"/>
        <v>0</v>
      </c>
      <c r="AQ25" s="269">
        <f t="shared" si="13"/>
        <v>0</v>
      </c>
      <c r="AR25" s="269">
        <f t="shared" si="14"/>
        <v>-55108</v>
      </c>
      <c r="AS25" s="267">
        <f t="shared" si="15"/>
        <v>0</v>
      </c>
      <c r="AT25" s="269">
        <f t="shared" si="16"/>
        <v>0</v>
      </c>
      <c r="AU25" s="269">
        <f t="shared" si="22"/>
        <v>0</v>
      </c>
      <c r="AV25" s="269">
        <f t="shared" si="17"/>
        <v>0</v>
      </c>
      <c r="AW25" s="269">
        <f t="shared" si="18"/>
        <v>0</v>
      </c>
      <c r="AX25" s="269">
        <f t="shared" si="19"/>
        <v>0</v>
      </c>
      <c r="AY25" s="269">
        <f t="shared" si="23"/>
        <v>0</v>
      </c>
      <c r="AZ25" s="267" t="e">
        <f t="shared" si="24"/>
        <v>#DIV/0!</v>
      </c>
      <c r="BA25" s="254">
        <f t="shared" si="10"/>
        <v>0</v>
      </c>
      <c r="BB25" s="270"/>
      <c r="BC25" s="270"/>
      <c r="BD25" s="270"/>
      <c r="BE25" s="268"/>
      <c r="BG25" s="233"/>
      <c r="BH25" s="233"/>
      <c r="BN25" s="308" t="e">
        <f t="shared" si="25"/>
        <v>#DIV/0!</v>
      </c>
    </row>
    <row r="26" spans="1:66" ht="20.100000000000001" hidden="1" customHeight="1" x14ac:dyDescent="0.35">
      <c r="A26" s="273"/>
      <c r="B26" s="274" t="s">
        <v>29</v>
      </c>
      <c r="C26" s="268"/>
      <c r="D26" s="268"/>
      <c r="E26" s="268">
        <v>14892</v>
      </c>
      <c r="F26" s="268"/>
      <c r="G26" s="268"/>
      <c r="H26" s="268">
        <v>7446</v>
      </c>
      <c r="I26" s="268">
        <v>7446</v>
      </c>
      <c r="J26" s="268">
        <v>17430</v>
      </c>
      <c r="K26" s="268"/>
      <c r="L26" s="268"/>
      <c r="M26" s="268">
        <v>8715</v>
      </c>
      <c r="N26" s="268">
        <v>8715</v>
      </c>
      <c r="O26" s="268">
        <v>0</v>
      </c>
      <c r="P26" s="268"/>
      <c r="Q26" s="268"/>
      <c r="R26" s="268"/>
      <c r="S26" s="268"/>
      <c r="T26" s="268">
        <v>0</v>
      </c>
      <c r="U26" s="267">
        <v>0</v>
      </c>
      <c r="V26" s="267">
        <v>0</v>
      </c>
      <c r="W26" s="267">
        <v>0</v>
      </c>
      <c r="X26" s="267">
        <v>0</v>
      </c>
      <c r="Y26" s="253">
        <v>0</v>
      </c>
      <c r="Z26" s="268">
        <v>0</v>
      </c>
      <c r="AA26" s="267">
        <v>0</v>
      </c>
      <c r="AB26" s="267">
        <v>0</v>
      </c>
      <c r="AC26" s="267">
        <v>0</v>
      </c>
      <c r="AD26" s="267">
        <v>0</v>
      </c>
      <c r="AE26" s="268">
        <v>0</v>
      </c>
      <c r="AF26" s="268">
        <v>0</v>
      </c>
      <c r="AG26" s="268">
        <v>0</v>
      </c>
      <c r="AH26" s="268">
        <v>-14892</v>
      </c>
      <c r="AI26" s="268">
        <v>-14892</v>
      </c>
      <c r="AJ26" s="267">
        <f t="shared" si="28"/>
        <v>0</v>
      </c>
      <c r="AK26" s="267">
        <f t="shared" si="29"/>
        <v>0</v>
      </c>
      <c r="AL26" s="267">
        <f>+AB26/5*6</f>
        <v>0</v>
      </c>
      <c r="AM26" s="267">
        <v>0</v>
      </c>
      <c r="AN26" s="253">
        <f t="shared" si="9"/>
        <v>0</v>
      </c>
      <c r="AO26" s="269">
        <f t="shared" si="12"/>
        <v>-14892</v>
      </c>
      <c r="AP26" s="269">
        <f t="shared" si="21"/>
        <v>0</v>
      </c>
      <c r="AQ26" s="269">
        <f t="shared" si="13"/>
        <v>0</v>
      </c>
      <c r="AR26" s="269">
        <f t="shared" si="14"/>
        <v>-7446</v>
      </c>
      <c r="AS26" s="267">
        <f t="shared" si="15"/>
        <v>-7446</v>
      </c>
      <c r="AT26" s="269">
        <f t="shared" si="16"/>
        <v>0</v>
      </c>
      <c r="AU26" s="269">
        <f t="shared" si="22"/>
        <v>0</v>
      </c>
      <c r="AV26" s="269">
        <f t="shared" si="17"/>
        <v>0</v>
      </c>
      <c r="AW26" s="269">
        <f t="shared" si="18"/>
        <v>0</v>
      </c>
      <c r="AX26" s="269">
        <f t="shared" si="19"/>
        <v>0</v>
      </c>
      <c r="AY26" s="269">
        <f t="shared" si="23"/>
        <v>0</v>
      </c>
      <c r="AZ26" s="267" t="e">
        <f t="shared" si="24"/>
        <v>#DIV/0!</v>
      </c>
      <c r="BA26" s="254">
        <f t="shared" si="10"/>
        <v>0</v>
      </c>
      <c r="BB26" s="270"/>
      <c r="BC26" s="270"/>
      <c r="BD26" s="270"/>
      <c r="BE26" s="268"/>
      <c r="BG26" s="233"/>
      <c r="BH26" s="233"/>
      <c r="BN26" s="308" t="e">
        <f t="shared" si="25"/>
        <v>#DIV/0!</v>
      </c>
    </row>
    <row r="27" spans="1:66" ht="20.100000000000001" customHeight="1" x14ac:dyDescent="0.35">
      <c r="A27" s="273">
        <v>4</v>
      </c>
      <c r="B27" s="274" t="s">
        <v>30</v>
      </c>
      <c r="C27" s="268">
        <v>7190</v>
      </c>
      <c r="D27" s="268">
        <v>8982</v>
      </c>
      <c r="E27" s="268">
        <v>6000</v>
      </c>
      <c r="F27" s="268">
        <v>1201</v>
      </c>
      <c r="G27" s="268"/>
      <c r="H27" s="268">
        <v>1439</v>
      </c>
      <c r="I27" s="268">
        <v>3360</v>
      </c>
      <c r="J27" s="268">
        <v>6000</v>
      </c>
      <c r="K27" s="268">
        <v>1201</v>
      </c>
      <c r="L27" s="268">
        <v>0</v>
      </c>
      <c r="M27" s="268">
        <v>1439</v>
      </c>
      <c r="N27" s="268">
        <v>3360</v>
      </c>
      <c r="O27" s="268">
        <v>8717</v>
      </c>
      <c r="P27" s="268">
        <v>656</v>
      </c>
      <c r="Q27" s="268">
        <v>1138</v>
      </c>
      <c r="R27" s="268">
        <v>1615</v>
      </c>
      <c r="S27" s="268">
        <v>5308</v>
      </c>
      <c r="T27" s="268">
        <v>11860</v>
      </c>
      <c r="U27" s="267">
        <v>1502</v>
      </c>
      <c r="V27" s="267">
        <v>1568</v>
      </c>
      <c r="W27" s="267">
        <v>2033</v>
      </c>
      <c r="X27" s="267">
        <v>6757</v>
      </c>
      <c r="Y27" s="253">
        <v>197.66666666666666</v>
      </c>
      <c r="Z27" s="268">
        <v>7500</v>
      </c>
      <c r="AA27" s="267">
        <v>2400</v>
      </c>
      <c r="AB27" s="267"/>
      <c r="AC27" s="267">
        <v>1440</v>
      </c>
      <c r="AD27" s="267">
        <v>3660</v>
      </c>
      <c r="AE27" s="268">
        <v>7500</v>
      </c>
      <c r="AF27" s="268">
        <v>12132</v>
      </c>
      <c r="AG27" s="268">
        <v>12132</v>
      </c>
      <c r="AH27" s="268">
        <v>8000</v>
      </c>
      <c r="AI27" s="268">
        <v>8000</v>
      </c>
      <c r="AJ27" s="267">
        <f>+AE27-AM27-AL27</f>
        <v>2400</v>
      </c>
      <c r="AK27" s="267"/>
      <c r="AL27" s="267">
        <v>1440</v>
      </c>
      <c r="AM27" s="267">
        <v>3660</v>
      </c>
      <c r="AN27" s="253">
        <f t="shared" si="9"/>
        <v>197.66666666666666</v>
      </c>
      <c r="AO27" s="269">
        <f t="shared" si="12"/>
        <v>1500</v>
      </c>
      <c r="AP27" s="269">
        <f t="shared" si="21"/>
        <v>1199</v>
      </c>
      <c r="AQ27" s="269">
        <f t="shared" si="13"/>
        <v>0</v>
      </c>
      <c r="AR27" s="269">
        <f t="shared" si="14"/>
        <v>1</v>
      </c>
      <c r="AS27" s="267">
        <f t="shared" si="15"/>
        <v>300</v>
      </c>
      <c r="AT27" s="269">
        <f t="shared" si="16"/>
        <v>-4360</v>
      </c>
      <c r="AU27" s="269">
        <f t="shared" si="22"/>
        <v>-670</v>
      </c>
      <c r="AV27" s="269">
        <f t="shared" si="17"/>
        <v>-1568</v>
      </c>
      <c r="AW27" s="269">
        <f t="shared" si="18"/>
        <v>-593</v>
      </c>
      <c r="AX27" s="269">
        <f t="shared" si="19"/>
        <v>-3097</v>
      </c>
      <c r="AY27" s="269">
        <f t="shared" ref="AY27:AY46" si="31">+Z27/E27*100</f>
        <v>125</v>
      </c>
      <c r="AZ27" s="267">
        <f t="shared" si="24"/>
        <v>63.237774030354132</v>
      </c>
      <c r="BA27" s="254">
        <f t="shared" si="10"/>
        <v>197.66666666666666</v>
      </c>
      <c r="BB27" s="270"/>
      <c r="BC27" s="270"/>
      <c r="BD27" s="270"/>
      <c r="BE27" s="268">
        <v>3743</v>
      </c>
      <c r="BG27" s="233"/>
      <c r="BH27" s="233"/>
      <c r="BN27" s="308">
        <f t="shared" si="25"/>
        <v>161.76</v>
      </c>
    </row>
    <row r="28" spans="1:66" ht="20.100000000000001" hidden="1" customHeight="1" x14ac:dyDescent="0.35">
      <c r="A28" s="273"/>
      <c r="B28" s="274" t="s">
        <v>31</v>
      </c>
      <c r="C28" s="268"/>
      <c r="D28" s="268"/>
      <c r="E28" s="268"/>
      <c r="F28" s="268"/>
      <c r="G28" s="268"/>
      <c r="H28" s="268"/>
      <c r="I28" s="268">
        <v>2170</v>
      </c>
      <c r="J28" s="268">
        <v>2170</v>
      </c>
      <c r="K28" s="268"/>
      <c r="L28" s="268"/>
      <c r="M28" s="268"/>
      <c r="N28" s="268">
        <v>2170</v>
      </c>
      <c r="O28" s="268">
        <v>0</v>
      </c>
      <c r="P28" s="268"/>
      <c r="Q28" s="268"/>
      <c r="R28" s="268"/>
      <c r="S28" s="268"/>
      <c r="T28" s="268">
        <v>0</v>
      </c>
      <c r="U28" s="267">
        <v>0</v>
      </c>
      <c r="V28" s="267">
        <v>0</v>
      </c>
      <c r="W28" s="267">
        <v>0</v>
      </c>
      <c r="X28" s="267">
        <v>0</v>
      </c>
      <c r="Y28" s="253">
        <v>0</v>
      </c>
      <c r="Z28" s="268">
        <v>0</v>
      </c>
      <c r="AA28" s="267">
        <v>0</v>
      </c>
      <c r="AB28" s="267">
        <v>0</v>
      </c>
      <c r="AC28" s="267">
        <v>0</v>
      </c>
      <c r="AD28" s="267">
        <v>0</v>
      </c>
      <c r="AE28" s="268">
        <v>0</v>
      </c>
      <c r="AF28" s="268">
        <v>0</v>
      </c>
      <c r="AG28" s="268">
        <v>0</v>
      </c>
      <c r="AH28" s="268">
        <v>0</v>
      </c>
      <c r="AI28" s="268">
        <v>0</v>
      </c>
      <c r="AJ28" s="267">
        <f>+Z28/5*6</f>
        <v>0</v>
      </c>
      <c r="AK28" s="267">
        <f t="shared" ref="AK28:AK30" si="32">+AA28/5*6</f>
        <v>0</v>
      </c>
      <c r="AL28" s="267">
        <f>+AB28/5*6</f>
        <v>0</v>
      </c>
      <c r="AM28" s="267">
        <v>0</v>
      </c>
      <c r="AN28" s="253">
        <f t="shared" si="9"/>
        <v>0</v>
      </c>
      <c r="AO28" s="269">
        <f t="shared" si="12"/>
        <v>0</v>
      </c>
      <c r="AP28" s="269">
        <f t="shared" si="21"/>
        <v>0</v>
      </c>
      <c r="AQ28" s="269">
        <f t="shared" si="13"/>
        <v>0</v>
      </c>
      <c r="AR28" s="269">
        <f t="shared" si="14"/>
        <v>0</v>
      </c>
      <c r="AS28" s="267">
        <f t="shared" si="15"/>
        <v>-2170</v>
      </c>
      <c r="AT28" s="269">
        <f t="shared" si="16"/>
        <v>0</v>
      </c>
      <c r="AU28" s="269">
        <f t="shared" si="22"/>
        <v>0</v>
      </c>
      <c r="AV28" s="269">
        <f t="shared" si="17"/>
        <v>0</v>
      </c>
      <c r="AW28" s="269">
        <f t="shared" si="18"/>
        <v>0</v>
      </c>
      <c r="AX28" s="269">
        <f t="shared" si="19"/>
        <v>0</v>
      </c>
      <c r="AY28" s="269" t="e">
        <f t="shared" si="31"/>
        <v>#DIV/0!</v>
      </c>
      <c r="AZ28" s="267" t="e">
        <f t="shared" si="24"/>
        <v>#DIV/0!</v>
      </c>
      <c r="BA28" s="254">
        <f t="shared" si="10"/>
        <v>0</v>
      </c>
      <c r="BB28" s="270"/>
      <c r="BC28" s="270"/>
      <c r="BD28" s="270"/>
      <c r="BE28" s="268"/>
      <c r="BG28" s="233"/>
      <c r="BH28" s="233"/>
      <c r="BN28" s="308" t="e">
        <f t="shared" si="25"/>
        <v>#DIV/0!</v>
      </c>
    </row>
    <row r="29" spans="1:66" ht="20.100000000000001" hidden="1" customHeight="1" x14ac:dyDescent="0.35">
      <c r="A29" s="273"/>
      <c r="B29" s="274" t="s">
        <v>32</v>
      </c>
      <c r="C29" s="268"/>
      <c r="D29" s="268"/>
      <c r="E29" s="268"/>
      <c r="F29" s="268"/>
      <c r="G29" s="268"/>
      <c r="H29" s="268">
        <v>1439</v>
      </c>
      <c r="I29" s="268">
        <v>1190</v>
      </c>
      <c r="J29" s="268">
        <v>3830</v>
      </c>
      <c r="K29" s="268">
        <v>1201</v>
      </c>
      <c r="L29" s="268"/>
      <c r="M29" s="268">
        <v>1439</v>
      </c>
      <c r="N29" s="268">
        <v>1190</v>
      </c>
      <c r="O29" s="268">
        <v>0</v>
      </c>
      <c r="P29" s="268"/>
      <c r="Q29" s="268"/>
      <c r="R29" s="268"/>
      <c r="S29" s="268"/>
      <c r="T29" s="268">
        <v>0</v>
      </c>
      <c r="U29" s="267">
        <v>0</v>
      </c>
      <c r="V29" s="267">
        <v>0</v>
      </c>
      <c r="W29" s="267">
        <v>0</v>
      </c>
      <c r="X29" s="267">
        <v>0</v>
      </c>
      <c r="Y29" s="253">
        <v>0</v>
      </c>
      <c r="Z29" s="268">
        <v>0</v>
      </c>
      <c r="AA29" s="267">
        <v>0</v>
      </c>
      <c r="AB29" s="267">
        <v>0</v>
      </c>
      <c r="AC29" s="267">
        <v>0</v>
      </c>
      <c r="AD29" s="267">
        <v>0</v>
      </c>
      <c r="AE29" s="268">
        <v>0</v>
      </c>
      <c r="AF29" s="268">
        <v>0</v>
      </c>
      <c r="AG29" s="268">
        <v>0</v>
      </c>
      <c r="AH29" s="268">
        <v>0</v>
      </c>
      <c r="AI29" s="268">
        <v>0</v>
      </c>
      <c r="AJ29" s="267">
        <f t="shared" ref="AJ29" si="33">+Z29/5*6</f>
        <v>0</v>
      </c>
      <c r="AK29" s="267">
        <f t="shared" si="32"/>
        <v>0</v>
      </c>
      <c r="AL29" s="267">
        <f>+AB29/5*6</f>
        <v>0</v>
      </c>
      <c r="AM29" s="267">
        <v>0</v>
      </c>
      <c r="AN29" s="253">
        <f t="shared" si="9"/>
        <v>0</v>
      </c>
      <c r="AO29" s="269">
        <f t="shared" si="12"/>
        <v>0</v>
      </c>
      <c r="AP29" s="269">
        <f t="shared" si="21"/>
        <v>0</v>
      </c>
      <c r="AQ29" s="269">
        <f t="shared" si="13"/>
        <v>0</v>
      </c>
      <c r="AR29" s="269">
        <f t="shared" si="14"/>
        <v>-1439</v>
      </c>
      <c r="AS29" s="267">
        <f t="shared" si="15"/>
        <v>-1190</v>
      </c>
      <c r="AT29" s="269">
        <f t="shared" si="16"/>
        <v>0</v>
      </c>
      <c r="AU29" s="269">
        <f t="shared" si="22"/>
        <v>0</v>
      </c>
      <c r="AV29" s="269">
        <f t="shared" si="17"/>
        <v>0</v>
      </c>
      <c r="AW29" s="269">
        <f t="shared" si="18"/>
        <v>0</v>
      </c>
      <c r="AX29" s="269">
        <f t="shared" si="19"/>
        <v>0</v>
      </c>
      <c r="AY29" s="269" t="e">
        <f t="shared" si="31"/>
        <v>#DIV/0!</v>
      </c>
      <c r="AZ29" s="267" t="e">
        <f t="shared" si="24"/>
        <v>#DIV/0!</v>
      </c>
      <c r="BA29" s="254">
        <f t="shared" si="10"/>
        <v>0</v>
      </c>
      <c r="BB29" s="270"/>
      <c r="BC29" s="270"/>
      <c r="BD29" s="270"/>
      <c r="BE29" s="268"/>
      <c r="BG29" s="233"/>
      <c r="BH29" s="233"/>
      <c r="BN29" s="308" t="e">
        <f t="shared" si="25"/>
        <v>#DIV/0!</v>
      </c>
    </row>
    <row r="30" spans="1:66" ht="23.4" customHeight="1" x14ac:dyDescent="0.35">
      <c r="A30" s="273">
        <v>5</v>
      </c>
      <c r="B30" s="276" t="s">
        <v>33</v>
      </c>
      <c r="C30" s="268">
        <v>854</v>
      </c>
      <c r="D30" s="268">
        <v>1521</v>
      </c>
      <c r="E30" s="268">
        <v>800</v>
      </c>
      <c r="F30" s="268"/>
      <c r="G30" s="268"/>
      <c r="H30" s="268"/>
      <c r="I30" s="268">
        <v>800</v>
      </c>
      <c r="J30" s="268">
        <v>821</v>
      </c>
      <c r="K30" s="268"/>
      <c r="L30" s="268"/>
      <c r="M30" s="268"/>
      <c r="N30" s="268">
        <v>821</v>
      </c>
      <c r="O30" s="268">
        <v>565</v>
      </c>
      <c r="P30" s="268"/>
      <c r="Q30" s="268"/>
      <c r="R30" s="268"/>
      <c r="S30" s="268">
        <v>565</v>
      </c>
      <c r="T30" s="268">
        <v>4832</v>
      </c>
      <c r="U30" s="267">
        <v>0</v>
      </c>
      <c r="V30" s="267">
        <v>0</v>
      </c>
      <c r="W30" s="267">
        <v>0</v>
      </c>
      <c r="X30" s="267">
        <v>4832</v>
      </c>
      <c r="Y30" s="253">
        <v>588.55054811205844</v>
      </c>
      <c r="Z30" s="268">
        <v>4800</v>
      </c>
      <c r="AA30" s="267">
        <v>0</v>
      </c>
      <c r="AB30" s="267">
        <v>0</v>
      </c>
      <c r="AC30" s="267">
        <v>0</v>
      </c>
      <c r="AD30" s="267">
        <v>4800</v>
      </c>
      <c r="AE30" s="268">
        <v>4800</v>
      </c>
      <c r="AF30" s="268">
        <v>5452</v>
      </c>
      <c r="AG30" s="268">
        <v>5400</v>
      </c>
      <c r="AH30" s="268">
        <v>5000</v>
      </c>
      <c r="AI30" s="268">
        <v>5000</v>
      </c>
      <c r="AJ30" s="267"/>
      <c r="AK30" s="267">
        <f t="shared" si="32"/>
        <v>0</v>
      </c>
      <c r="AL30" s="267">
        <f>+AB30/5*6</f>
        <v>0</v>
      </c>
      <c r="AM30" s="267">
        <v>4800</v>
      </c>
      <c r="AN30" s="253">
        <f t="shared" si="9"/>
        <v>588.55054811205844</v>
      </c>
      <c r="AO30" s="269">
        <f t="shared" si="12"/>
        <v>4000</v>
      </c>
      <c r="AP30" s="269">
        <f t="shared" si="21"/>
        <v>0</v>
      </c>
      <c r="AQ30" s="269">
        <f t="shared" si="13"/>
        <v>0</v>
      </c>
      <c r="AR30" s="269">
        <f t="shared" si="14"/>
        <v>0</v>
      </c>
      <c r="AS30" s="267">
        <f t="shared" si="15"/>
        <v>4000</v>
      </c>
      <c r="AT30" s="269">
        <f t="shared" si="16"/>
        <v>-32</v>
      </c>
      <c r="AU30" s="269">
        <f t="shared" si="22"/>
        <v>0</v>
      </c>
      <c r="AV30" s="269">
        <f t="shared" si="17"/>
        <v>0</v>
      </c>
      <c r="AW30" s="269">
        <f t="shared" si="18"/>
        <v>0</v>
      </c>
      <c r="AX30" s="269">
        <f t="shared" si="19"/>
        <v>-32</v>
      </c>
      <c r="AY30" s="269">
        <f t="shared" si="31"/>
        <v>600</v>
      </c>
      <c r="AZ30" s="267">
        <f t="shared" si="24"/>
        <v>99.337748344370851</v>
      </c>
      <c r="BA30" s="254">
        <f t="shared" si="10"/>
        <v>588.55054811205844</v>
      </c>
      <c r="BB30" s="270"/>
      <c r="BC30" s="270"/>
      <c r="BD30" s="270"/>
      <c r="BE30" s="268">
        <v>196</v>
      </c>
      <c r="BF30" s="234">
        <f>+BF14/BF39*100</f>
        <v>2.3760400125138112E-4</v>
      </c>
      <c r="BG30" s="233"/>
      <c r="BH30" s="233"/>
      <c r="BN30" s="308">
        <f t="shared" si="25"/>
        <v>112.5</v>
      </c>
    </row>
    <row r="31" spans="1:66" ht="20.100000000000001" customHeight="1" x14ac:dyDescent="0.35">
      <c r="A31" s="273">
        <v>6</v>
      </c>
      <c r="B31" s="274" t="s">
        <v>34</v>
      </c>
      <c r="C31" s="268">
        <v>1640000</v>
      </c>
      <c r="D31" s="268">
        <v>3196233</v>
      </c>
      <c r="E31" s="268">
        <v>1700000</v>
      </c>
      <c r="F31" s="268"/>
      <c r="G31" s="268">
        <v>550000</v>
      </c>
      <c r="H31" s="268">
        <v>980000</v>
      </c>
      <c r="I31" s="268">
        <v>170000</v>
      </c>
      <c r="J31" s="268">
        <v>2020000</v>
      </c>
      <c r="K31" s="268"/>
      <c r="L31" s="268">
        <v>606000</v>
      </c>
      <c r="M31" s="268">
        <v>1212000</v>
      </c>
      <c r="N31" s="268">
        <v>202000</v>
      </c>
      <c r="O31" s="268">
        <v>1256128</v>
      </c>
      <c r="P31" s="268"/>
      <c r="Q31" s="268">
        <v>421976</v>
      </c>
      <c r="R31" s="268">
        <v>708539</v>
      </c>
      <c r="S31" s="268">
        <v>125613</v>
      </c>
      <c r="T31" s="268">
        <v>2129500</v>
      </c>
      <c r="U31" s="268"/>
      <c r="V31" s="268">
        <v>687909</v>
      </c>
      <c r="W31" s="268">
        <v>1228641</v>
      </c>
      <c r="X31" s="268">
        <v>212950</v>
      </c>
      <c r="Y31" s="253">
        <v>105.42079207920791</v>
      </c>
      <c r="Z31" s="268">
        <v>1000000</v>
      </c>
      <c r="AA31" s="268">
        <v>300000</v>
      </c>
      <c r="AB31" s="268">
        <v>300000</v>
      </c>
      <c r="AC31" s="268">
        <v>600000</v>
      </c>
      <c r="AD31" s="268">
        <v>100000</v>
      </c>
      <c r="AE31" s="268">
        <v>1000000</v>
      </c>
      <c r="AF31" s="268">
        <v>1196877</v>
      </c>
      <c r="AG31" s="268">
        <v>1230000</v>
      </c>
      <c r="AH31" s="268">
        <v>1600000</v>
      </c>
      <c r="AI31" s="268">
        <v>1800000</v>
      </c>
      <c r="AJ31" s="268">
        <v>300000</v>
      </c>
      <c r="AK31" s="268">
        <v>300000</v>
      </c>
      <c r="AL31" s="268">
        <v>600000</v>
      </c>
      <c r="AM31" s="268">
        <v>100000</v>
      </c>
      <c r="AN31" s="253">
        <f t="shared" si="9"/>
        <v>105.42079207920791</v>
      </c>
      <c r="AO31" s="269">
        <f t="shared" si="12"/>
        <v>-700000</v>
      </c>
      <c r="AP31" s="269">
        <f t="shared" si="21"/>
        <v>-250000</v>
      </c>
      <c r="AQ31" s="269">
        <f t="shared" si="13"/>
        <v>-250000</v>
      </c>
      <c r="AR31" s="269">
        <f t="shared" si="14"/>
        <v>-380000</v>
      </c>
      <c r="AS31" s="267">
        <f t="shared" si="15"/>
        <v>-70000</v>
      </c>
      <c r="AT31" s="269">
        <f t="shared" si="16"/>
        <v>-1129500</v>
      </c>
      <c r="AU31" s="269">
        <f t="shared" si="22"/>
        <v>-387909</v>
      </c>
      <c r="AV31" s="269">
        <f t="shared" si="17"/>
        <v>-387909</v>
      </c>
      <c r="AW31" s="269">
        <f t="shared" si="18"/>
        <v>-628641</v>
      </c>
      <c r="AX31" s="269">
        <f t="shared" si="19"/>
        <v>-112950</v>
      </c>
      <c r="AY31" s="269">
        <f t="shared" si="31"/>
        <v>58.82352941176471</v>
      </c>
      <c r="AZ31" s="267">
        <f t="shared" si="24"/>
        <v>46.959380136182205</v>
      </c>
      <c r="BA31" s="254">
        <f t="shared" si="10"/>
        <v>105.42079207920791</v>
      </c>
      <c r="BB31" s="270"/>
      <c r="BC31" s="270"/>
      <c r="BD31" s="270"/>
      <c r="BE31" s="268">
        <v>838678</v>
      </c>
      <c r="BG31" s="245"/>
      <c r="BH31" s="233"/>
      <c r="BN31" s="308">
        <f t="shared" si="25"/>
        <v>123</v>
      </c>
    </row>
    <row r="32" spans="1:66" ht="20.100000000000001" customHeight="1" x14ac:dyDescent="0.35">
      <c r="A32" s="273">
        <v>7</v>
      </c>
      <c r="B32" s="274" t="s">
        <v>35</v>
      </c>
      <c r="C32" s="268">
        <v>1650</v>
      </c>
      <c r="D32" s="268">
        <v>4455</v>
      </c>
      <c r="E32" s="268">
        <v>5500</v>
      </c>
      <c r="F32" s="268"/>
      <c r="G32" s="268"/>
      <c r="H32" s="268">
        <v>5500</v>
      </c>
      <c r="I32" s="268"/>
      <c r="J32" s="268">
        <v>5500</v>
      </c>
      <c r="K32" s="268"/>
      <c r="L32" s="268"/>
      <c r="M32" s="268">
        <v>5500</v>
      </c>
      <c r="N32" s="268"/>
      <c r="O32" s="268">
        <v>75207</v>
      </c>
      <c r="P32" s="268"/>
      <c r="Q32" s="268">
        <v>50545</v>
      </c>
      <c r="R32" s="268">
        <v>24662</v>
      </c>
      <c r="S32" s="268"/>
      <c r="T32" s="268">
        <v>129511</v>
      </c>
      <c r="U32" s="267">
        <v>0</v>
      </c>
      <c r="V32" s="267">
        <v>85712</v>
      </c>
      <c r="W32" s="267">
        <v>43799</v>
      </c>
      <c r="X32" s="267">
        <v>0</v>
      </c>
      <c r="Y32" s="253">
        <v>2354.7454545454548</v>
      </c>
      <c r="Z32" s="268">
        <v>3000</v>
      </c>
      <c r="AA32" s="267">
        <v>0</v>
      </c>
      <c r="AB32" s="267">
        <v>0</v>
      </c>
      <c r="AC32" s="267">
        <v>3000</v>
      </c>
      <c r="AD32" s="267">
        <v>0</v>
      </c>
      <c r="AE32" s="268">
        <v>3000</v>
      </c>
      <c r="AF32" s="268">
        <v>11595</v>
      </c>
      <c r="AG32" s="268">
        <v>11595</v>
      </c>
      <c r="AH32" s="268">
        <v>4200</v>
      </c>
      <c r="AI32" s="268">
        <v>4200</v>
      </c>
      <c r="AJ32" s="267"/>
      <c r="AK32" s="267">
        <f>Sheet1!S11</f>
        <v>0</v>
      </c>
      <c r="AL32" s="267">
        <v>3000</v>
      </c>
      <c r="AM32" s="267">
        <v>0</v>
      </c>
      <c r="AN32" s="253">
        <f t="shared" si="9"/>
        <v>2354.7454545454548</v>
      </c>
      <c r="AO32" s="269">
        <f t="shared" si="12"/>
        <v>-2500</v>
      </c>
      <c r="AP32" s="269">
        <f t="shared" si="21"/>
        <v>0</v>
      </c>
      <c r="AQ32" s="269">
        <f t="shared" si="13"/>
        <v>0</v>
      </c>
      <c r="AR32" s="269">
        <f t="shared" si="14"/>
        <v>-2500</v>
      </c>
      <c r="AS32" s="267">
        <f t="shared" si="15"/>
        <v>0</v>
      </c>
      <c r="AT32" s="269">
        <f t="shared" si="16"/>
        <v>-126511</v>
      </c>
      <c r="AU32" s="269">
        <f t="shared" si="22"/>
        <v>-85712</v>
      </c>
      <c r="AV32" s="269">
        <f t="shared" si="17"/>
        <v>-85712</v>
      </c>
      <c r="AW32" s="269">
        <f t="shared" si="18"/>
        <v>-40799</v>
      </c>
      <c r="AX32" s="269">
        <f t="shared" si="19"/>
        <v>0</v>
      </c>
      <c r="AY32" s="269">
        <f t="shared" si="31"/>
        <v>54.54545454545454</v>
      </c>
      <c r="AZ32" s="267">
        <f t="shared" si="24"/>
        <v>2.3164055562847943</v>
      </c>
      <c r="BA32" s="254">
        <f t="shared" si="10"/>
        <v>2354.7454545454548</v>
      </c>
      <c r="BB32" s="270"/>
      <c r="BC32" s="270"/>
      <c r="BD32" s="270"/>
      <c r="BE32" s="268">
        <v>387</v>
      </c>
      <c r="BG32" s="245"/>
      <c r="BH32" s="233"/>
      <c r="BI32" s="245"/>
      <c r="BN32" s="308">
        <f t="shared" si="25"/>
        <v>386.5</v>
      </c>
    </row>
    <row r="33" spans="1:75" ht="21" customHeight="1" x14ac:dyDescent="0.35">
      <c r="A33" s="273">
        <v>8</v>
      </c>
      <c r="B33" s="276" t="s">
        <v>36</v>
      </c>
      <c r="C33" s="268">
        <v>1375</v>
      </c>
      <c r="D33" s="268">
        <v>1325</v>
      </c>
      <c r="E33" s="268">
        <v>1426</v>
      </c>
      <c r="F33" s="268"/>
      <c r="G33" s="268"/>
      <c r="H33" s="268">
        <v>855.6</v>
      </c>
      <c r="I33" s="268">
        <v>570.4</v>
      </c>
      <c r="J33" s="268">
        <v>1426</v>
      </c>
      <c r="K33" s="268"/>
      <c r="L33" s="268"/>
      <c r="M33" s="268">
        <v>855.6</v>
      </c>
      <c r="N33" s="268">
        <v>570.4</v>
      </c>
      <c r="O33" s="268">
        <v>1332</v>
      </c>
      <c r="P33" s="268"/>
      <c r="Q33" s="268"/>
      <c r="R33" s="268">
        <v>799</v>
      </c>
      <c r="S33" s="268">
        <v>533</v>
      </c>
      <c r="T33" s="268">
        <v>1517</v>
      </c>
      <c r="U33" s="267">
        <v>0</v>
      </c>
      <c r="V33" s="267">
        <v>0</v>
      </c>
      <c r="W33" s="267">
        <v>910</v>
      </c>
      <c r="X33" s="267">
        <v>607</v>
      </c>
      <c r="Y33" s="253">
        <v>106.38148667601683</v>
      </c>
      <c r="Z33" s="268">
        <v>800</v>
      </c>
      <c r="AA33" s="267">
        <v>0</v>
      </c>
      <c r="AB33" s="267">
        <v>0</v>
      </c>
      <c r="AC33" s="267">
        <v>480</v>
      </c>
      <c r="AD33" s="267">
        <v>320</v>
      </c>
      <c r="AE33" s="268">
        <v>800</v>
      </c>
      <c r="AF33" s="268">
        <v>9321</v>
      </c>
      <c r="AG33" s="268">
        <v>9321</v>
      </c>
      <c r="AH33" s="268">
        <v>2000</v>
      </c>
      <c r="AI33" s="268">
        <v>2000</v>
      </c>
      <c r="AJ33" s="267"/>
      <c r="AK33" s="267">
        <f>+AA33/5*6</f>
        <v>0</v>
      </c>
      <c r="AL33" s="267">
        <f>+AE33*0.6</f>
        <v>480</v>
      </c>
      <c r="AM33" s="267">
        <v>320</v>
      </c>
      <c r="AN33" s="253">
        <f t="shared" si="9"/>
        <v>106.38148667601683</v>
      </c>
      <c r="AO33" s="269">
        <f t="shared" si="12"/>
        <v>-626</v>
      </c>
      <c r="AP33" s="269">
        <f t="shared" si="21"/>
        <v>0</v>
      </c>
      <c r="AQ33" s="269">
        <f t="shared" si="13"/>
        <v>0</v>
      </c>
      <c r="AR33" s="269">
        <f t="shared" si="14"/>
        <v>-375.6</v>
      </c>
      <c r="AS33" s="267">
        <f t="shared" si="15"/>
        <v>-250.39999999999998</v>
      </c>
      <c r="AT33" s="269">
        <f t="shared" si="16"/>
        <v>-717</v>
      </c>
      <c r="AU33" s="269">
        <f t="shared" si="22"/>
        <v>0</v>
      </c>
      <c r="AV33" s="269">
        <f t="shared" si="17"/>
        <v>0</v>
      </c>
      <c r="AW33" s="269">
        <f t="shared" si="18"/>
        <v>-430</v>
      </c>
      <c r="AX33" s="269">
        <f t="shared" si="19"/>
        <v>-287</v>
      </c>
      <c r="AY33" s="269">
        <f t="shared" si="31"/>
        <v>56.100981767180926</v>
      </c>
      <c r="AZ33" s="267">
        <f t="shared" si="24"/>
        <v>52.735662491760053</v>
      </c>
      <c r="BA33" s="254">
        <f t="shared" si="10"/>
        <v>106.38148667601683</v>
      </c>
      <c r="BB33" s="270"/>
      <c r="BC33" s="270"/>
      <c r="BD33" s="270"/>
      <c r="BE33" s="268">
        <v>654</v>
      </c>
      <c r="BG33" s="233"/>
      <c r="BH33" s="233"/>
      <c r="BN33" s="308">
        <f t="shared" si="25"/>
        <v>1165.125</v>
      </c>
      <c r="BU33" s="233">
        <v>900</v>
      </c>
      <c r="BV33" s="233">
        <f>+BU33*0.6</f>
        <v>540</v>
      </c>
    </row>
    <row r="34" spans="1:75" ht="20.100000000000001" customHeight="1" x14ac:dyDescent="0.35">
      <c r="A34" s="273">
        <v>9</v>
      </c>
      <c r="B34" s="274" t="s">
        <v>366</v>
      </c>
      <c r="C34" s="268">
        <v>16500</v>
      </c>
      <c r="D34" s="268">
        <v>33440</v>
      </c>
      <c r="E34" s="268">
        <v>18000</v>
      </c>
      <c r="F34" s="268">
        <v>9500</v>
      </c>
      <c r="G34" s="268"/>
      <c r="H34" s="268">
        <v>8500</v>
      </c>
      <c r="I34" s="268"/>
      <c r="J34" s="268">
        <v>18000</v>
      </c>
      <c r="K34" s="268">
        <v>9500</v>
      </c>
      <c r="L34" s="268"/>
      <c r="M34" s="268">
        <v>8500</v>
      </c>
      <c r="N34" s="268"/>
      <c r="O34" s="268">
        <v>8291</v>
      </c>
      <c r="P34" s="268">
        <v>5224</v>
      </c>
      <c r="Q34" s="268">
        <v>1226</v>
      </c>
      <c r="R34" s="268">
        <v>1551</v>
      </c>
      <c r="S34" s="268">
        <v>290</v>
      </c>
      <c r="T34" s="268">
        <v>48222</v>
      </c>
      <c r="U34" s="267">
        <v>14148</v>
      </c>
      <c r="V34" s="267">
        <v>5045</v>
      </c>
      <c r="W34" s="267">
        <v>26165</v>
      </c>
      <c r="X34" s="267">
        <v>2864</v>
      </c>
      <c r="Y34" s="253">
        <v>267.89999999999998</v>
      </c>
      <c r="Z34" s="268">
        <v>26000</v>
      </c>
      <c r="AA34" s="267">
        <v>10110</v>
      </c>
      <c r="AB34" s="267">
        <v>0</v>
      </c>
      <c r="AC34" s="267">
        <v>15890</v>
      </c>
      <c r="AD34" s="267">
        <v>0</v>
      </c>
      <c r="AE34" s="268">
        <v>26000</v>
      </c>
      <c r="AF34" s="268">
        <v>65901</v>
      </c>
      <c r="AG34" s="268">
        <v>69901</v>
      </c>
      <c r="AH34" s="268">
        <v>31000</v>
      </c>
      <c r="AI34" s="268">
        <v>31000</v>
      </c>
      <c r="AJ34" s="267">
        <v>10110</v>
      </c>
      <c r="AK34" s="267">
        <f>Sheet1!S14</f>
        <v>0</v>
      </c>
      <c r="AL34" s="267">
        <f>26000-AJ34</f>
        <v>15890</v>
      </c>
      <c r="AM34" s="267">
        <v>0</v>
      </c>
      <c r="AN34" s="253">
        <f t="shared" si="9"/>
        <v>267.89999999999998</v>
      </c>
      <c r="AO34" s="269">
        <f t="shared" si="12"/>
        <v>8000</v>
      </c>
      <c r="AP34" s="269">
        <f t="shared" si="21"/>
        <v>610</v>
      </c>
      <c r="AQ34" s="269">
        <f t="shared" si="13"/>
        <v>0</v>
      </c>
      <c r="AR34" s="269">
        <f t="shared" si="14"/>
        <v>7390</v>
      </c>
      <c r="AS34" s="267">
        <f t="shared" si="15"/>
        <v>0</v>
      </c>
      <c r="AT34" s="269">
        <f t="shared" si="16"/>
        <v>-22222</v>
      </c>
      <c r="AU34" s="269">
        <f t="shared" si="22"/>
        <v>-9083</v>
      </c>
      <c r="AV34" s="269">
        <f t="shared" si="17"/>
        <v>-5045</v>
      </c>
      <c r="AW34" s="269">
        <f t="shared" si="18"/>
        <v>-10275</v>
      </c>
      <c r="AX34" s="269">
        <f t="shared" si="19"/>
        <v>-2864</v>
      </c>
      <c r="AY34" s="269">
        <f t="shared" si="31"/>
        <v>144.44444444444443</v>
      </c>
      <c r="AZ34" s="267">
        <f t="shared" si="24"/>
        <v>53.917299158060636</v>
      </c>
      <c r="BA34" s="254">
        <f t="shared" si="10"/>
        <v>267.89999999999998</v>
      </c>
      <c r="BB34" s="270"/>
      <c r="BC34" s="270"/>
      <c r="BD34" s="270"/>
      <c r="BE34" s="268">
        <v>6308</v>
      </c>
      <c r="BG34" s="233"/>
      <c r="BH34" s="233"/>
      <c r="BN34" s="308">
        <f t="shared" si="25"/>
        <v>268.84999999999997</v>
      </c>
      <c r="BU34" s="233">
        <f>+BV34/0.4</f>
        <v>900</v>
      </c>
      <c r="BV34" s="233">
        <f>+BU33-BV33</f>
        <v>360</v>
      </c>
      <c r="BW34" s="233">
        <v>180</v>
      </c>
    </row>
    <row r="35" spans="1:75" ht="20.100000000000001" customHeight="1" x14ac:dyDescent="0.35">
      <c r="A35" s="273">
        <v>10</v>
      </c>
      <c r="B35" s="274" t="s">
        <v>38</v>
      </c>
      <c r="C35" s="268">
        <v>3500</v>
      </c>
      <c r="D35" s="268">
        <v>6391</v>
      </c>
      <c r="E35" s="268">
        <v>3600</v>
      </c>
      <c r="F35" s="268"/>
      <c r="G35" s="268"/>
      <c r="H35" s="268"/>
      <c r="I35" s="268">
        <v>3600</v>
      </c>
      <c r="J35" s="268">
        <v>3600</v>
      </c>
      <c r="K35" s="268"/>
      <c r="L35" s="268"/>
      <c r="M35" s="268"/>
      <c r="N35" s="268">
        <v>3600</v>
      </c>
      <c r="O35" s="268">
        <v>2984</v>
      </c>
      <c r="P35" s="268"/>
      <c r="Q35" s="268"/>
      <c r="R35" s="268"/>
      <c r="S35" s="268">
        <v>2984</v>
      </c>
      <c r="T35" s="268">
        <v>7134</v>
      </c>
      <c r="U35" s="267">
        <v>0</v>
      </c>
      <c r="V35" s="267">
        <v>0</v>
      </c>
      <c r="W35" s="267">
        <v>0</v>
      </c>
      <c r="X35" s="267">
        <v>7134</v>
      </c>
      <c r="Y35" s="253">
        <v>198.16666666666666</v>
      </c>
      <c r="Z35" s="268">
        <v>3600</v>
      </c>
      <c r="AA35" s="267">
        <v>0</v>
      </c>
      <c r="AB35" s="267">
        <v>0</v>
      </c>
      <c r="AC35" s="267">
        <v>0</v>
      </c>
      <c r="AD35" s="267">
        <v>3600</v>
      </c>
      <c r="AE35" s="268">
        <v>3600</v>
      </c>
      <c r="AF35" s="268">
        <v>2507</v>
      </c>
      <c r="AG35" s="268">
        <v>3600</v>
      </c>
      <c r="AH35" s="268">
        <v>9600</v>
      </c>
      <c r="AI35" s="268">
        <v>9600</v>
      </c>
      <c r="AJ35" s="267"/>
      <c r="AK35" s="267">
        <f>+AA35/5*6</f>
        <v>0</v>
      </c>
      <c r="AL35" s="267">
        <f>+AB35/5*6</f>
        <v>0</v>
      </c>
      <c r="AM35" s="267">
        <v>3600</v>
      </c>
      <c r="AN35" s="253">
        <f t="shared" si="9"/>
        <v>198.16666666666666</v>
      </c>
      <c r="AO35" s="269">
        <f t="shared" si="12"/>
        <v>0</v>
      </c>
      <c r="AP35" s="269">
        <f t="shared" si="21"/>
        <v>0</v>
      </c>
      <c r="AQ35" s="269">
        <f t="shared" si="13"/>
        <v>0</v>
      </c>
      <c r="AR35" s="269">
        <f t="shared" si="14"/>
        <v>0</v>
      </c>
      <c r="AS35" s="267">
        <f t="shared" si="15"/>
        <v>0</v>
      </c>
      <c r="AT35" s="269">
        <f t="shared" si="16"/>
        <v>-3534</v>
      </c>
      <c r="AU35" s="269">
        <f t="shared" si="22"/>
        <v>0</v>
      </c>
      <c r="AV35" s="269">
        <f t="shared" si="17"/>
        <v>0</v>
      </c>
      <c r="AW35" s="269">
        <f t="shared" si="18"/>
        <v>0</v>
      </c>
      <c r="AX35" s="269">
        <f t="shared" si="19"/>
        <v>-3534</v>
      </c>
      <c r="AY35" s="269">
        <f t="shared" si="31"/>
        <v>100</v>
      </c>
      <c r="AZ35" s="267">
        <f t="shared" si="24"/>
        <v>50.462573591253154</v>
      </c>
      <c r="BA35" s="254">
        <f t="shared" si="10"/>
        <v>198.16666666666666</v>
      </c>
      <c r="BB35" s="270"/>
      <c r="BC35" s="270"/>
      <c r="BD35" s="270"/>
      <c r="BE35" s="268">
        <v>2809</v>
      </c>
      <c r="BG35" s="233"/>
      <c r="BH35" s="233"/>
      <c r="BM35" s="233">
        <v>9800</v>
      </c>
      <c r="BN35" s="308">
        <f t="shared" si="25"/>
        <v>100</v>
      </c>
      <c r="BU35" s="233">
        <f>+BU33+BU34</f>
        <v>1800</v>
      </c>
    </row>
    <row r="36" spans="1:75" s="313" customFormat="1" ht="20.100000000000001" customHeight="1" x14ac:dyDescent="0.35">
      <c r="A36" s="310"/>
      <c r="B36" s="311" t="s">
        <v>385</v>
      </c>
      <c r="C36" s="295"/>
      <c r="D36" s="295"/>
      <c r="E36" s="295"/>
      <c r="F36" s="295"/>
      <c r="G36" s="295"/>
      <c r="H36" s="295"/>
      <c r="I36" s="295"/>
      <c r="J36" s="295"/>
      <c r="K36" s="295"/>
      <c r="L36" s="295"/>
      <c r="M36" s="295"/>
      <c r="N36" s="295"/>
      <c r="O36" s="295"/>
      <c r="P36" s="295"/>
      <c r="Q36" s="295"/>
      <c r="R36" s="295"/>
      <c r="S36" s="295"/>
      <c r="T36" s="295"/>
      <c r="U36" s="294"/>
      <c r="V36" s="294"/>
      <c r="W36" s="294"/>
      <c r="X36" s="294"/>
      <c r="Y36" s="296"/>
      <c r="Z36" s="295"/>
      <c r="AA36" s="294"/>
      <c r="AB36" s="294"/>
      <c r="AC36" s="294"/>
      <c r="AD36" s="294"/>
      <c r="AE36" s="295"/>
      <c r="AF36" s="268"/>
      <c r="AG36" s="268"/>
      <c r="AH36" s="295"/>
      <c r="AI36" s="295"/>
      <c r="AJ36" s="294"/>
      <c r="AK36" s="294"/>
      <c r="AL36" s="294"/>
      <c r="AM36" s="294"/>
      <c r="AN36" s="296"/>
      <c r="AO36" s="297"/>
      <c r="AP36" s="297"/>
      <c r="AQ36" s="297"/>
      <c r="AR36" s="297"/>
      <c r="AS36" s="294"/>
      <c r="AT36" s="297"/>
      <c r="AU36" s="297"/>
      <c r="AV36" s="297"/>
      <c r="AW36" s="297"/>
      <c r="AX36" s="297"/>
      <c r="AY36" s="297"/>
      <c r="AZ36" s="294"/>
      <c r="BA36" s="298"/>
      <c r="BB36" s="299"/>
      <c r="BC36" s="299"/>
      <c r="BD36" s="299"/>
      <c r="BE36" s="295"/>
      <c r="BF36" s="312"/>
      <c r="BN36" s="308" t="e">
        <f t="shared" si="25"/>
        <v>#DIV/0!</v>
      </c>
    </row>
    <row r="37" spans="1:75" ht="20.100000000000001" customHeight="1" x14ac:dyDescent="0.35">
      <c r="A37" s="273">
        <v>11</v>
      </c>
      <c r="B37" s="274" t="s">
        <v>387</v>
      </c>
      <c r="C37" s="268"/>
      <c r="D37" s="268"/>
      <c r="E37" s="268"/>
      <c r="F37" s="268"/>
      <c r="G37" s="268"/>
      <c r="H37" s="268"/>
      <c r="I37" s="268"/>
      <c r="J37" s="268"/>
      <c r="K37" s="268"/>
      <c r="L37" s="268"/>
      <c r="M37" s="268"/>
      <c r="N37" s="268"/>
      <c r="O37" s="268"/>
      <c r="P37" s="268"/>
      <c r="Q37" s="268"/>
      <c r="R37" s="268"/>
      <c r="S37" s="268"/>
      <c r="T37" s="268"/>
      <c r="U37" s="267"/>
      <c r="V37" s="267"/>
      <c r="W37" s="267"/>
      <c r="X37" s="267"/>
      <c r="Y37" s="253"/>
      <c r="Z37" s="268"/>
      <c r="AA37" s="267"/>
      <c r="AB37" s="267"/>
      <c r="AC37" s="267"/>
      <c r="AD37" s="267"/>
      <c r="AE37" s="268"/>
      <c r="AF37" s="268">
        <v>511</v>
      </c>
      <c r="AG37" s="268">
        <v>511</v>
      </c>
      <c r="AH37" s="268"/>
      <c r="AI37" s="268"/>
      <c r="AJ37" s="267"/>
      <c r="AK37" s="267"/>
      <c r="AL37" s="267"/>
      <c r="AM37" s="267"/>
      <c r="AN37" s="253"/>
      <c r="AO37" s="269"/>
      <c r="AP37" s="269"/>
      <c r="AQ37" s="269"/>
      <c r="AR37" s="269"/>
      <c r="AS37" s="267"/>
      <c r="AT37" s="269"/>
      <c r="AU37" s="269"/>
      <c r="AV37" s="269"/>
      <c r="AW37" s="269"/>
      <c r="AX37" s="269"/>
      <c r="AY37" s="269"/>
      <c r="AZ37" s="267"/>
      <c r="BA37" s="254"/>
      <c r="BB37" s="270"/>
      <c r="BC37" s="270"/>
      <c r="BD37" s="270"/>
      <c r="BE37" s="268"/>
      <c r="BG37" s="233"/>
      <c r="BH37" s="233"/>
      <c r="BN37" s="308" t="e">
        <f t="shared" si="25"/>
        <v>#DIV/0!</v>
      </c>
      <c r="BV37" s="245">
        <f>+BV43+BV42+BU44+BU45+BU46+BU47-BW46</f>
        <v>1569706</v>
      </c>
    </row>
    <row r="38" spans="1:75" ht="20.100000000000001" customHeight="1" x14ac:dyDescent="0.35">
      <c r="A38" s="273">
        <v>12</v>
      </c>
      <c r="B38" s="274" t="s">
        <v>388</v>
      </c>
      <c r="C38" s="268"/>
      <c r="D38" s="268"/>
      <c r="E38" s="268"/>
      <c r="F38" s="268"/>
      <c r="G38" s="268"/>
      <c r="H38" s="268"/>
      <c r="I38" s="268"/>
      <c r="J38" s="268"/>
      <c r="K38" s="268"/>
      <c r="L38" s="268"/>
      <c r="M38" s="268"/>
      <c r="N38" s="268"/>
      <c r="O38" s="268"/>
      <c r="P38" s="268"/>
      <c r="Q38" s="268"/>
      <c r="R38" s="268"/>
      <c r="S38" s="268"/>
      <c r="T38" s="268"/>
      <c r="U38" s="267"/>
      <c r="V38" s="267"/>
      <c r="W38" s="267"/>
      <c r="X38" s="267"/>
      <c r="Y38" s="253"/>
      <c r="Z38" s="268"/>
      <c r="AA38" s="267"/>
      <c r="AB38" s="267"/>
      <c r="AC38" s="267"/>
      <c r="AD38" s="267"/>
      <c r="AE38" s="268"/>
      <c r="AF38" s="268">
        <v>5038</v>
      </c>
      <c r="AG38" s="268">
        <v>5038</v>
      </c>
      <c r="AH38" s="268"/>
      <c r="AI38" s="268"/>
      <c r="AJ38" s="267"/>
      <c r="AK38" s="267"/>
      <c r="AL38" s="267"/>
      <c r="AM38" s="267"/>
      <c r="AN38" s="253"/>
      <c r="AO38" s="269"/>
      <c r="AP38" s="269"/>
      <c r="AQ38" s="269"/>
      <c r="AR38" s="269"/>
      <c r="AS38" s="267"/>
      <c r="AT38" s="269"/>
      <c r="AU38" s="269"/>
      <c r="AV38" s="269"/>
      <c r="AW38" s="269"/>
      <c r="AX38" s="269"/>
      <c r="AY38" s="269"/>
      <c r="AZ38" s="267"/>
      <c r="BA38" s="254"/>
      <c r="BB38" s="270"/>
      <c r="BC38" s="270"/>
      <c r="BD38" s="270"/>
      <c r="BE38" s="268"/>
      <c r="BG38" s="233"/>
      <c r="BH38" s="233"/>
      <c r="BN38" s="308" t="e">
        <f t="shared" si="25"/>
        <v>#DIV/0!</v>
      </c>
    </row>
    <row r="39" spans="1:75" ht="20.399999999999999" customHeight="1" x14ac:dyDescent="0.35">
      <c r="A39" s="273">
        <v>13</v>
      </c>
      <c r="B39" s="266" t="s">
        <v>102</v>
      </c>
      <c r="C39" s="268"/>
      <c r="D39" s="268"/>
      <c r="E39" s="268"/>
      <c r="F39" s="268"/>
      <c r="G39" s="268"/>
      <c r="H39" s="268"/>
      <c r="I39" s="268"/>
      <c r="J39" s="268"/>
      <c r="K39" s="268"/>
      <c r="L39" s="268"/>
      <c r="M39" s="268"/>
      <c r="N39" s="268"/>
      <c r="O39" s="268">
        <v>40169</v>
      </c>
      <c r="P39" s="268">
        <v>20888</v>
      </c>
      <c r="Q39" s="268">
        <v>19281</v>
      </c>
      <c r="R39" s="268"/>
      <c r="S39" s="268"/>
      <c r="T39" s="268">
        <v>55334</v>
      </c>
      <c r="U39" s="267">
        <v>29504</v>
      </c>
      <c r="V39" s="267">
        <v>25830</v>
      </c>
      <c r="W39" s="267">
        <v>0</v>
      </c>
      <c r="X39" s="267">
        <v>0</v>
      </c>
      <c r="Y39" s="253" t="e">
        <v>#DIV/0!</v>
      </c>
      <c r="Z39" s="268">
        <v>0</v>
      </c>
      <c r="AA39" s="267">
        <v>0</v>
      </c>
      <c r="AB39" s="267">
        <v>0</v>
      </c>
      <c r="AC39" s="267">
        <v>0</v>
      </c>
      <c r="AD39" s="267">
        <v>0</v>
      </c>
      <c r="AE39" s="268">
        <v>0</v>
      </c>
      <c r="AF39" s="268">
        <v>18084</v>
      </c>
      <c r="AG39" s="268">
        <v>18084</v>
      </c>
      <c r="AH39" s="268"/>
      <c r="AI39" s="268"/>
      <c r="AJ39" s="267">
        <f>Sheet1!R7</f>
        <v>0</v>
      </c>
      <c r="AK39" s="267">
        <f>Sheet1!S7</f>
        <v>0</v>
      </c>
      <c r="AL39" s="267">
        <f>+AB39/5*6</f>
        <v>0</v>
      </c>
      <c r="AM39" s="267">
        <v>0</v>
      </c>
      <c r="AN39" s="253" t="e">
        <f>+T39/J39*100</f>
        <v>#DIV/0!</v>
      </c>
      <c r="AO39" s="269">
        <f>+Z39-E39</f>
        <v>0</v>
      </c>
      <c r="AP39" s="269">
        <f>+AA39-F39-G39</f>
        <v>0</v>
      </c>
      <c r="AQ39" s="269">
        <f>+AB39-G39</f>
        <v>0</v>
      </c>
      <c r="AR39" s="269">
        <f>+AC39-H39</f>
        <v>0</v>
      </c>
      <c r="AS39" s="267">
        <f>+AD39-I39</f>
        <v>0</v>
      </c>
      <c r="AT39" s="269">
        <f>+Z39-T39</f>
        <v>-55334</v>
      </c>
      <c r="AU39" s="269">
        <f>+AA39-U39-V39</f>
        <v>-55334</v>
      </c>
      <c r="AV39" s="269">
        <f>+AB39-V39</f>
        <v>-25830</v>
      </c>
      <c r="AW39" s="269">
        <f>+AC39-W39</f>
        <v>0</v>
      </c>
      <c r="AX39" s="269">
        <f>+AD39-X39</f>
        <v>0</v>
      </c>
      <c r="AY39" s="269"/>
      <c r="AZ39" s="267">
        <f>+Z39/T39*100</f>
        <v>0</v>
      </c>
      <c r="BA39" s="254" t="e">
        <f>+T39/J39*100</f>
        <v>#DIV/0!</v>
      </c>
      <c r="BB39" s="270"/>
      <c r="BC39" s="270"/>
      <c r="BD39" s="270"/>
      <c r="BE39" s="268">
        <v>37041</v>
      </c>
      <c r="BF39" s="45">
        <v>505042</v>
      </c>
      <c r="BG39" s="233"/>
      <c r="BH39" s="233"/>
      <c r="BN39" s="308" t="e">
        <f t="shared" si="25"/>
        <v>#DIV/0!</v>
      </c>
    </row>
    <row r="40" spans="1:75" ht="20.100000000000001" customHeight="1" x14ac:dyDescent="0.35">
      <c r="A40" s="273">
        <v>14</v>
      </c>
      <c r="B40" s="274" t="s">
        <v>163</v>
      </c>
      <c r="C40" s="268"/>
      <c r="D40" s="268"/>
      <c r="E40" s="268"/>
      <c r="F40" s="268"/>
      <c r="G40" s="268"/>
      <c r="H40" s="268"/>
      <c r="I40" s="268"/>
      <c r="J40" s="268"/>
      <c r="K40" s="268"/>
      <c r="L40" s="268"/>
      <c r="M40" s="268"/>
      <c r="N40" s="268"/>
      <c r="O40" s="268">
        <v>6514</v>
      </c>
      <c r="P40" s="268"/>
      <c r="Q40" s="268"/>
      <c r="R40" s="268">
        <v>6314</v>
      </c>
      <c r="S40" s="268">
        <v>200</v>
      </c>
      <c r="T40" s="268">
        <v>8514</v>
      </c>
      <c r="U40" s="268"/>
      <c r="V40" s="268"/>
      <c r="W40" s="268">
        <v>8314</v>
      </c>
      <c r="X40" s="268">
        <v>200</v>
      </c>
      <c r="Y40" s="253" t="e">
        <v>#DIV/0!</v>
      </c>
      <c r="Z40" s="268">
        <v>0</v>
      </c>
      <c r="AA40" s="268"/>
      <c r="AB40" s="268"/>
      <c r="AC40" s="268">
        <v>0</v>
      </c>
      <c r="AD40" s="268">
        <v>0</v>
      </c>
      <c r="AE40" s="268">
        <v>0</v>
      </c>
      <c r="AF40" s="268">
        <v>16983</v>
      </c>
      <c r="AG40" s="268">
        <v>16983</v>
      </c>
      <c r="AH40" s="268"/>
      <c r="AI40" s="268"/>
      <c r="AJ40" s="268"/>
      <c r="AK40" s="268"/>
      <c r="AL40" s="268">
        <f>Sheet1!T16</f>
        <v>0</v>
      </c>
      <c r="AM40" s="268">
        <f>Sheet1!U16</f>
        <v>0</v>
      </c>
      <c r="AN40" s="253" t="e">
        <f t="shared" si="9"/>
        <v>#DIV/0!</v>
      </c>
      <c r="AO40" s="260">
        <f t="shared" si="12"/>
        <v>0</v>
      </c>
      <c r="AP40" s="260">
        <f>+AA40-F40</f>
        <v>0</v>
      </c>
      <c r="AQ40" s="260">
        <f t="shared" si="13"/>
        <v>0</v>
      </c>
      <c r="AR40" s="260">
        <f t="shared" si="14"/>
        <v>0</v>
      </c>
      <c r="AS40" s="261">
        <f t="shared" si="15"/>
        <v>0</v>
      </c>
      <c r="AT40" s="260">
        <f t="shared" si="16"/>
        <v>-8514</v>
      </c>
      <c r="AU40" s="269">
        <f t="shared" si="22"/>
        <v>0</v>
      </c>
      <c r="AV40" s="260">
        <f t="shared" si="17"/>
        <v>0</v>
      </c>
      <c r="AW40" s="260">
        <f t="shared" si="18"/>
        <v>-8314</v>
      </c>
      <c r="AX40" s="260">
        <f t="shared" si="19"/>
        <v>-200</v>
      </c>
      <c r="AY40" s="260" t="e">
        <f t="shared" si="31"/>
        <v>#DIV/0!</v>
      </c>
      <c r="AZ40" s="261">
        <f t="shared" si="24"/>
        <v>0</v>
      </c>
      <c r="BA40" s="254" t="e">
        <f t="shared" si="10"/>
        <v>#DIV/0!</v>
      </c>
      <c r="BB40" s="254"/>
      <c r="BC40" s="254"/>
      <c r="BD40" s="254"/>
      <c r="BE40" s="268"/>
      <c r="BG40" s="233"/>
      <c r="BH40" s="233"/>
      <c r="BN40" s="308" t="e">
        <f t="shared" si="25"/>
        <v>#DIV/0!</v>
      </c>
    </row>
    <row r="41" spans="1:75" ht="20.100000000000001" customHeight="1" x14ac:dyDescent="0.35">
      <c r="A41" s="273">
        <v>15</v>
      </c>
      <c r="B41" s="274" t="s">
        <v>386</v>
      </c>
      <c r="C41" s="268"/>
      <c r="D41" s="268"/>
      <c r="E41" s="268"/>
      <c r="F41" s="268"/>
      <c r="G41" s="268"/>
      <c r="H41" s="268"/>
      <c r="I41" s="268"/>
      <c r="J41" s="268"/>
      <c r="K41" s="268"/>
      <c r="L41" s="268"/>
      <c r="M41" s="268"/>
      <c r="N41" s="268"/>
      <c r="O41" s="268"/>
      <c r="P41" s="268"/>
      <c r="Q41" s="268"/>
      <c r="R41" s="268"/>
      <c r="S41" s="268"/>
      <c r="T41" s="268"/>
      <c r="U41" s="268"/>
      <c r="V41" s="268"/>
      <c r="W41" s="268"/>
      <c r="X41" s="268"/>
      <c r="Y41" s="253"/>
      <c r="Z41" s="268"/>
      <c r="AA41" s="268"/>
      <c r="AB41" s="268"/>
      <c r="AC41" s="268"/>
      <c r="AD41" s="268"/>
      <c r="AE41" s="268"/>
      <c r="AF41" s="268">
        <v>4482</v>
      </c>
      <c r="AG41" s="268">
        <v>4366</v>
      </c>
      <c r="AH41" s="268"/>
      <c r="AI41" s="268"/>
      <c r="AJ41" s="268"/>
      <c r="AK41" s="268"/>
      <c r="AL41" s="268"/>
      <c r="AM41" s="268"/>
      <c r="AN41" s="253"/>
      <c r="AO41" s="260"/>
      <c r="AP41" s="260"/>
      <c r="AQ41" s="260"/>
      <c r="AR41" s="260"/>
      <c r="AS41" s="261"/>
      <c r="AT41" s="260"/>
      <c r="AU41" s="269"/>
      <c r="AV41" s="260"/>
      <c r="AW41" s="260"/>
      <c r="AX41" s="260"/>
      <c r="AY41" s="260"/>
      <c r="AZ41" s="261"/>
      <c r="BA41" s="254"/>
      <c r="BB41" s="254"/>
      <c r="BC41" s="254"/>
      <c r="BD41" s="254"/>
      <c r="BE41" s="268"/>
      <c r="BG41" s="233"/>
      <c r="BH41" s="233"/>
      <c r="BN41" s="308" t="e">
        <f t="shared" si="25"/>
        <v>#DIV/0!</v>
      </c>
    </row>
    <row r="42" spans="1:75" s="236" customFormat="1" ht="20.100000000000001" customHeight="1" x14ac:dyDescent="0.3">
      <c r="A42" s="263" t="s">
        <v>39</v>
      </c>
      <c r="B42" s="264" t="s">
        <v>361</v>
      </c>
      <c r="C42" s="261">
        <v>267815</v>
      </c>
      <c r="D42" s="261">
        <v>498814</v>
      </c>
      <c r="E42" s="261">
        <v>239144</v>
      </c>
      <c r="F42" s="261">
        <v>0</v>
      </c>
      <c r="G42" s="261">
        <v>0</v>
      </c>
      <c r="H42" s="261">
        <v>180302</v>
      </c>
      <c r="I42" s="261">
        <v>58842</v>
      </c>
      <c r="J42" s="261">
        <v>241360</v>
      </c>
      <c r="K42" s="261">
        <v>0</v>
      </c>
      <c r="L42" s="261">
        <v>0</v>
      </c>
      <c r="M42" s="261">
        <v>180302</v>
      </c>
      <c r="N42" s="261">
        <v>61058</v>
      </c>
      <c r="O42" s="277">
        <v>187389</v>
      </c>
      <c r="P42" s="261"/>
      <c r="Q42" s="261">
        <v>0</v>
      </c>
      <c r="R42" s="261">
        <v>161005</v>
      </c>
      <c r="S42" s="261">
        <v>26384</v>
      </c>
      <c r="T42" s="277">
        <v>241360</v>
      </c>
      <c r="U42" s="261"/>
      <c r="V42" s="261">
        <v>0</v>
      </c>
      <c r="W42" s="261">
        <v>180302</v>
      </c>
      <c r="X42" s="261">
        <v>61058</v>
      </c>
      <c r="Y42" s="253">
        <v>100</v>
      </c>
      <c r="Z42" s="277">
        <v>99116</v>
      </c>
      <c r="AA42" s="261"/>
      <c r="AB42" s="261">
        <v>0</v>
      </c>
      <c r="AC42" s="261">
        <v>57543</v>
      </c>
      <c r="AD42" s="261">
        <v>41573</v>
      </c>
      <c r="AE42" s="277">
        <v>1386806</v>
      </c>
      <c r="AF42" s="277">
        <v>1447553</v>
      </c>
      <c r="AG42" s="277">
        <v>1500844</v>
      </c>
      <c r="AH42" s="277">
        <v>1672277</v>
      </c>
      <c r="AI42" s="277">
        <v>1822277</v>
      </c>
      <c r="AJ42" s="261"/>
      <c r="AK42" s="261">
        <f t="shared" ref="AK42:AM42" si="34">+AK45+AK46</f>
        <v>0</v>
      </c>
      <c r="AL42" s="261">
        <f t="shared" si="34"/>
        <v>57543</v>
      </c>
      <c r="AM42" s="261">
        <f t="shared" si="34"/>
        <v>41573</v>
      </c>
      <c r="AN42" s="253">
        <f t="shared" si="9"/>
        <v>100</v>
      </c>
      <c r="AO42" s="260">
        <f t="shared" si="12"/>
        <v>-140028</v>
      </c>
      <c r="AP42" s="260">
        <f>+AA42-F42</f>
        <v>0</v>
      </c>
      <c r="AQ42" s="260">
        <f t="shared" si="13"/>
        <v>0</v>
      </c>
      <c r="AR42" s="260">
        <f t="shared" si="14"/>
        <v>-122759</v>
      </c>
      <c r="AS42" s="261">
        <f t="shared" si="15"/>
        <v>-17269</v>
      </c>
      <c r="AT42" s="260">
        <f t="shared" si="16"/>
        <v>-142244</v>
      </c>
      <c r="AU42" s="260">
        <f>+AA42-U42</f>
        <v>0</v>
      </c>
      <c r="AV42" s="260">
        <f t="shared" si="17"/>
        <v>0</v>
      </c>
      <c r="AW42" s="260">
        <f t="shared" si="18"/>
        <v>-122759</v>
      </c>
      <c r="AX42" s="260">
        <f t="shared" si="19"/>
        <v>-19485</v>
      </c>
      <c r="AY42" s="260">
        <f t="shared" si="31"/>
        <v>41.446157963402804</v>
      </c>
      <c r="AZ42" s="261">
        <f t="shared" si="24"/>
        <v>41.065628107391447</v>
      </c>
      <c r="BA42" s="254">
        <f t="shared" si="10"/>
        <v>100</v>
      </c>
      <c r="BB42" s="261"/>
      <c r="BC42" s="261"/>
      <c r="BD42" s="261"/>
      <c r="BE42" s="261">
        <f t="shared" ref="BE42" si="35">+BE45+BE46</f>
        <v>72061</v>
      </c>
      <c r="BF42" s="256"/>
      <c r="BN42" s="257">
        <f>+AI42-AH42</f>
        <v>150000</v>
      </c>
      <c r="BP42" s="256">
        <v>1361077</v>
      </c>
      <c r="BV42" s="236">
        <v>120000</v>
      </c>
      <c r="BW42" s="236">
        <v>30000</v>
      </c>
    </row>
    <row r="43" spans="1:75" s="272" customFormat="1" ht="20.100000000000001" customHeight="1" x14ac:dyDescent="0.35">
      <c r="A43" s="265">
        <v>1</v>
      </c>
      <c r="B43" s="278" t="s">
        <v>362</v>
      </c>
      <c r="C43" s="267"/>
      <c r="D43" s="267"/>
      <c r="E43" s="267"/>
      <c r="F43" s="267"/>
      <c r="G43" s="267"/>
      <c r="H43" s="267"/>
      <c r="I43" s="267"/>
      <c r="J43" s="267"/>
      <c r="K43" s="267"/>
      <c r="L43" s="267"/>
      <c r="M43" s="267"/>
      <c r="N43" s="267"/>
      <c r="O43" s="268"/>
      <c r="P43" s="267"/>
      <c r="Q43" s="267"/>
      <c r="R43" s="267"/>
      <c r="S43" s="267"/>
      <c r="T43" s="268"/>
      <c r="U43" s="267"/>
      <c r="V43" s="267"/>
      <c r="W43" s="267"/>
      <c r="X43" s="267"/>
      <c r="Y43" s="279"/>
      <c r="Z43" s="268"/>
      <c r="AA43" s="267"/>
      <c r="AB43" s="267"/>
      <c r="AC43" s="267"/>
      <c r="AD43" s="267"/>
      <c r="AE43" s="268">
        <v>1287690</v>
      </c>
      <c r="AF43" s="268">
        <v>1234399</v>
      </c>
      <c r="AG43" s="268">
        <v>1287690</v>
      </c>
      <c r="AH43" s="268">
        <v>1419300</v>
      </c>
      <c r="AI43" s="268">
        <v>1569300</v>
      </c>
      <c r="AJ43" s="267">
        <f>+AI43-AH43</f>
        <v>150000</v>
      </c>
      <c r="AK43" s="267"/>
      <c r="AL43" s="267"/>
      <c r="AM43" s="267"/>
      <c r="AN43" s="279"/>
      <c r="AO43" s="269"/>
      <c r="AP43" s="269"/>
      <c r="AQ43" s="269"/>
      <c r="AR43" s="269"/>
      <c r="AS43" s="267"/>
      <c r="AT43" s="269"/>
      <c r="AU43" s="269"/>
      <c r="AV43" s="269"/>
      <c r="AW43" s="269"/>
      <c r="AX43" s="269"/>
      <c r="AY43" s="269"/>
      <c r="AZ43" s="267"/>
      <c r="BA43" s="270"/>
      <c r="BB43" s="267"/>
      <c r="BC43" s="267"/>
      <c r="BD43" s="267"/>
      <c r="BE43" s="267"/>
      <c r="BF43" s="271"/>
      <c r="BN43" s="314">
        <f>+AI42/AH42*100</f>
        <v>108.9698058395828</v>
      </c>
      <c r="BP43" s="271">
        <f>+BP42-AH42</f>
        <v>-311200</v>
      </c>
      <c r="BT43" s="272">
        <v>1500</v>
      </c>
      <c r="BU43" s="444">
        <f>+BV43+BW43</f>
        <v>1419300</v>
      </c>
      <c r="BV43" s="445">
        <v>1209968</v>
      </c>
      <c r="BW43" s="445">
        <v>209332</v>
      </c>
    </row>
    <row r="44" spans="1:75" s="272" customFormat="1" ht="20.100000000000001" customHeight="1" x14ac:dyDescent="0.35">
      <c r="A44" s="265">
        <v>2</v>
      </c>
      <c r="B44" s="278" t="s">
        <v>363</v>
      </c>
      <c r="C44" s="267"/>
      <c r="D44" s="267"/>
      <c r="E44" s="267"/>
      <c r="F44" s="267"/>
      <c r="G44" s="267"/>
      <c r="H44" s="267"/>
      <c r="I44" s="267"/>
      <c r="J44" s="267"/>
      <c r="K44" s="267"/>
      <c r="L44" s="267"/>
      <c r="M44" s="267"/>
      <c r="N44" s="267"/>
      <c r="O44" s="268"/>
      <c r="P44" s="267"/>
      <c r="Q44" s="267"/>
      <c r="R44" s="267"/>
      <c r="S44" s="267"/>
      <c r="T44" s="268"/>
      <c r="U44" s="267"/>
      <c r="V44" s="267"/>
      <c r="W44" s="267"/>
      <c r="X44" s="267"/>
      <c r="Y44" s="279"/>
      <c r="Z44" s="268"/>
      <c r="AA44" s="267"/>
      <c r="AB44" s="267"/>
      <c r="AC44" s="267"/>
      <c r="AD44" s="267"/>
      <c r="AE44" s="268">
        <v>99116</v>
      </c>
      <c r="AF44" s="268">
        <v>213154</v>
      </c>
      <c r="AG44" s="268">
        <v>213154</v>
      </c>
      <c r="AH44" s="268">
        <v>194450</v>
      </c>
      <c r="AI44" s="268">
        <v>194450</v>
      </c>
      <c r="AJ44" s="267">
        <f>+AG43-700000</f>
        <v>587690</v>
      </c>
      <c r="AK44" s="267"/>
      <c r="AL44" s="267"/>
      <c r="AM44" s="267"/>
      <c r="AN44" s="279"/>
      <c r="AO44" s="269"/>
      <c r="AP44" s="269"/>
      <c r="AQ44" s="269"/>
      <c r="AR44" s="269"/>
      <c r="AS44" s="267"/>
      <c r="AT44" s="269"/>
      <c r="AU44" s="269"/>
      <c r="AV44" s="269"/>
      <c r="AW44" s="269"/>
      <c r="AX44" s="269"/>
      <c r="AY44" s="269"/>
      <c r="AZ44" s="267"/>
      <c r="BA44" s="270"/>
      <c r="BB44" s="267"/>
      <c r="BC44" s="267"/>
      <c r="BD44" s="267"/>
      <c r="BE44" s="267"/>
      <c r="BF44" s="271"/>
      <c r="BU44" s="444">
        <f>+AH45</f>
        <v>61215</v>
      </c>
      <c r="BV44" s="444">
        <f>+BU44-BW44</f>
        <v>26730</v>
      </c>
      <c r="BW44" s="446">
        <v>34485</v>
      </c>
    </row>
    <row r="45" spans="1:75" ht="20.100000000000001" customHeight="1" x14ac:dyDescent="0.35">
      <c r="A45" s="273" t="s">
        <v>364</v>
      </c>
      <c r="B45" s="274" t="s">
        <v>41</v>
      </c>
      <c r="C45" s="268">
        <v>237923</v>
      </c>
      <c r="D45" s="268">
        <v>294968</v>
      </c>
      <c r="E45" s="268">
        <v>211336</v>
      </c>
      <c r="F45" s="268"/>
      <c r="G45" s="268"/>
      <c r="H45" s="268">
        <v>157104</v>
      </c>
      <c r="I45" s="268">
        <v>54232</v>
      </c>
      <c r="J45" s="268">
        <v>213552</v>
      </c>
      <c r="K45" s="268"/>
      <c r="L45" s="268"/>
      <c r="M45" s="268">
        <v>157104</v>
      </c>
      <c r="N45" s="268">
        <v>56448</v>
      </c>
      <c r="O45" s="268">
        <v>101394</v>
      </c>
      <c r="P45" s="268"/>
      <c r="Q45" s="268"/>
      <c r="R45" s="268">
        <v>80000</v>
      </c>
      <c r="S45" s="268">
        <v>21394</v>
      </c>
      <c r="T45" s="268">
        <v>213552</v>
      </c>
      <c r="U45" s="268"/>
      <c r="V45" s="268"/>
      <c r="W45" s="268">
        <v>157104</v>
      </c>
      <c r="X45" s="268">
        <v>56448</v>
      </c>
      <c r="Y45" s="279">
        <v>100</v>
      </c>
      <c r="Z45" s="268">
        <v>61215</v>
      </c>
      <c r="AA45" s="268"/>
      <c r="AB45" s="268"/>
      <c r="AC45" s="268">
        <v>26730</v>
      </c>
      <c r="AD45" s="268">
        <v>34485</v>
      </c>
      <c r="AE45" s="268">
        <v>61215</v>
      </c>
      <c r="AF45" s="268">
        <v>61215</v>
      </c>
      <c r="AG45" s="268">
        <v>61215</v>
      </c>
      <c r="AH45" s="268">
        <v>61215</v>
      </c>
      <c r="AI45" s="268">
        <v>61215</v>
      </c>
      <c r="AJ45" s="268"/>
      <c r="AK45" s="268"/>
      <c r="AL45" s="268">
        <v>26730</v>
      </c>
      <c r="AM45" s="268">
        <v>34485</v>
      </c>
      <c r="AN45" s="279">
        <f t="shared" si="9"/>
        <v>100</v>
      </c>
      <c r="AO45" s="269">
        <f t="shared" si="12"/>
        <v>-150121</v>
      </c>
      <c r="AP45" s="269">
        <f>+AA45-F45</f>
        <v>0</v>
      </c>
      <c r="AQ45" s="269">
        <f t="shared" si="13"/>
        <v>0</v>
      </c>
      <c r="AR45" s="269">
        <f t="shared" si="14"/>
        <v>-130374</v>
      </c>
      <c r="AS45" s="267">
        <f t="shared" si="15"/>
        <v>-19747</v>
      </c>
      <c r="AT45" s="269">
        <f t="shared" si="16"/>
        <v>-152337</v>
      </c>
      <c r="AU45" s="269">
        <f>+AA45-U45</f>
        <v>0</v>
      </c>
      <c r="AV45" s="269">
        <f t="shared" si="17"/>
        <v>0</v>
      </c>
      <c r="AW45" s="269">
        <f t="shared" si="18"/>
        <v>-130374</v>
      </c>
      <c r="AX45" s="269">
        <f t="shared" si="19"/>
        <v>-21963</v>
      </c>
      <c r="AY45" s="269">
        <f t="shared" si="31"/>
        <v>28.965722829995837</v>
      </c>
      <c r="AZ45" s="267">
        <f t="shared" si="24"/>
        <v>28.665149471791413</v>
      </c>
      <c r="BA45" s="270">
        <f t="shared" si="10"/>
        <v>100</v>
      </c>
      <c r="BB45" s="267"/>
      <c r="BC45" s="267"/>
      <c r="BD45" s="267"/>
      <c r="BE45" s="268">
        <v>63534</v>
      </c>
      <c r="BG45" s="233"/>
      <c r="BH45" s="233"/>
      <c r="BN45" s="245"/>
      <c r="BU45" s="447">
        <f>+BP47</f>
        <v>109590</v>
      </c>
      <c r="BV45" s="448">
        <v>102271</v>
      </c>
      <c r="BW45" s="447">
        <f>+BU45-BV45</f>
        <v>7319</v>
      </c>
    </row>
    <row r="46" spans="1:75" ht="20.100000000000001" customHeight="1" x14ac:dyDescent="0.35">
      <c r="A46" s="273" t="s">
        <v>365</v>
      </c>
      <c r="B46" s="274" t="s">
        <v>42</v>
      </c>
      <c r="C46" s="268">
        <v>29892</v>
      </c>
      <c r="D46" s="268">
        <v>203846</v>
      </c>
      <c r="E46" s="268">
        <v>27808</v>
      </c>
      <c r="F46" s="268"/>
      <c r="G46" s="268"/>
      <c r="H46" s="268">
        <v>23198</v>
      </c>
      <c r="I46" s="268">
        <v>4610</v>
      </c>
      <c r="J46" s="268">
        <v>27808</v>
      </c>
      <c r="K46" s="268"/>
      <c r="L46" s="268"/>
      <c r="M46" s="268">
        <v>23198</v>
      </c>
      <c r="N46" s="268">
        <v>4610</v>
      </c>
      <c r="O46" s="268">
        <v>85995</v>
      </c>
      <c r="P46" s="268"/>
      <c r="Q46" s="268"/>
      <c r="R46" s="268">
        <v>81005</v>
      </c>
      <c r="S46" s="268">
        <v>4990</v>
      </c>
      <c r="T46" s="268">
        <v>27808</v>
      </c>
      <c r="U46" s="268"/>
      <c r="V46" s="268"/>
      <c r="W46" s="268">
        <v>23198</v>
      </c>
      <c r="X46" s="268">
        <v>4610</v>
      </c>
      <c r="Y46" s="279">
        <v>100</v>
      </c>
      <c r="Z46" s="268">
        <v>37901</v>
      </c>
      <c r="AA46" s="268"/>
      <c r="AB46" s="268"/>
      <c r="AC46" s="268">
        <v>30813</v>
      </c>
      <c r="AD46" s="268">
        <v>7088</v>
      </c>
      <c r="AE46" s="268">
        <v>37901</v>
      </c>
      <c r="AF46" s="268">
        <v>151939</v>
      </c>
      <c r="AG46" s="268">
        <v>151939</v>
      </c>
      <c r="AH46" s="268">
        <v>133235</v>
      </c>
      <c r="AI46" s="268">
        <v>133235</v>
      </c>
      <c r="AJ46" s="268"/>
      <c r="AK46" s="268"/>
      <c r="AL46" s="268">
        <v>30813</v>
      </c>
      <c r="AM46" s="268">
        <v>7088</v>
      </c>
      <c r="AN46" s="279">
        <f t="shared" si="9"/>
        <v>100</v>
      </c>
      <c r="AO46" s="269">
        <f t="shared" si="12"/>
        <v>10093</v>
      </c>
      <c r="AP46" s="269">
        <f>+AA46-F46</f>
        <v>0</v>
      </c>
      <c r="AQ46" s="269">
        <f t="shared" si="13"/>
        <v>0</v>
      </c>
      <c r="AR46" s="269">
        <f t="shared" si="14"/>
        <v>7615</v>
      </c>
      <c r="AS46" s="267">
        <f t="shared" si="15"/>
        <v>2478</v>
      </c>
      <c r="AT46" s="269">
        <f t="shared" si="16"/>
        <v>10093</v>
      </c>
      <c r="AU46" s="269">
        <f>+AA46-U46</f>
        <v>0</v>
      </c>
      <c r="AV46" s="269">
        <f t="shared" si="17"/>
        <v>0</v>
      </c>
      <c r="AW46" s="269">
        <f t="shared" si="18"/>
        <v>7615</v>
      </c>
      <c r="AX46" s="269">
        <f t="shared" si="19"/>
        <v>2478</v>
      </c>
      <c r="AY46" s="269">
        <f t="shared" si="31"/>
        <v>136.29531070195625</v>
      </c>
      <c r="AZ46" s="267">
        <f t="shared" si="24"/>
        <v>136.29531070195625</v>
      </c>
      <c r="BA46" s="270">
        <f t="shared" si="10"/>
        <v>100</v>
      </c>
      <c r="BB46" s="280"/>
      <c r="BC46" s="280"/>
      <c r="BD46" s="280"/>
      <c r="BE46" s="268">
        <v>8527</v>
      </c>
      <c r="BG46" s="233"/>
      <c r="BH46" s="233"/>
      <c r="BP46" s="233">
        <v>23645</v>
      </c>
      <c r="BU46" s="448">
        <f>+BV46+BW46</f>
        <v>58527</v>
      </c>
      <c r="BV46" s="448">
        <v>45288</v>
      </c>
      <c r="BW46" s="448">
        <v>13239</v>
      </c>
    </row>
    <row r="47" spans="1:75" ht="38.4" customHeight="1" x14ac:dyDescent="0.35">
      <c r="A47" s="355">
        <v>3</v>
      </c>
      <c r="B47" s="404" t="s">
        <v>421</v>
      </c>
      <c r="C47" s="282"/>
      <c r="D47" s="282"/>
      <c r="E47" s="282"/>
      <c r="F47" s="282"/>
      <c r="G47" s="282"/>
      <c r="H47" s="282"/>
      <c r="I47" s="282"/>
      <c r="J47" s="282"/>
      <c r="K47" s="282"/>
      <c r="L47" s="282"/>
      <c r="M47" s="282"/>
      <c r="N47" s="282"/>
      <c r="O47" s="282"/>
      <c r="P47" s="282"/>
      <c r="Q47" s="282"/>
      <c r="R47" s="282"/>
      <c r="S47" s="282"/>
      <c r="T47" s="282"/>
      <c r="U47" s="282"/>
      <c r="V47" s="282"/>
      <c r="W47" s="282"/>
      <c r="X47" s="282"/>
      <c r="Y47" s="405"/>
      <c r="Z47" s="282"/>
      <c r="AA47" s="282"/>
      <c r="AB47" s="282"/>
      <c r="AC47" s="282"/>
      <c r="AD47" s="282"/>
      <c r="AE47" s="282"/>
      <c r="AF47" s="282"/>
      <c r="AG47" s="282"/>
      <c r="AH47" s="282">
        <v>58527</v>
      </c>
      <c r="AI47" s="282">
        <v>58527</v>
      </c>
      <c r="AJ47" s="315"/>
      <c r="AK47" s="315"/>
      <c r="AL47" s="315"/>
      <c r="AM47" s="315"/>
      <c r="AN47" s="279"/>
      <c r="AO47" s="316"/>
      <c r="AP47" s="316"/>
      <c r="AQ47" s="316"/>
      <c r="AR47" s="316"/>
      <c r="AS47" s="280"/>
      <c r="AT47" s="316"/>
      <c r="AU47" s="316"/>
      <c r="AV47" s="316"/>
      <c r="AW47" s="316"/>
      <c r="AX47" s="316"/>
      <c r="AY47" s="316"/>
      <c r="AZ47" s="280"/>
      <c r="BA47" s="270"/>
      <c r="BB47" s="317"/>
      <c r="BC47" s="317"/>
      <c r="BD47" s="317"/>
      <c r="BE47" s="315"/>
      <c r="BG47" s="233"/>
      <c r="BH47" s="233"/>
      <c r="BN47" s="233">
        <f>+CD!C17</f>
        <v>50941</v>
      </c>
      <c r="BP47" s="245">
        <v>109590</v>
      </c>
      <c r="BU47" s="448">
        <f>+BV47+BW47</f>
        <v>23645</v>
      </c>
      <c r="BV47" s="448">
        <v>14508</v>
      </c>
      <c r="BW47" s="448">
        <v>9137</v>
      </c>
    </row>
    <row r="48" spans="1:75" s="232" customFormat="1" ht="20.100000000000001" customHeight="1" x14ac:dyDescent="0.35">
      <c r="A48" s="401"/>
      <c r="B48" s="402"/>
      <c r="C48" s="283"/>
      <c r="D48" s="283"/>
      <c r="E48" s="283"/>
      <c r="F48" s="283"/>
      <c r="G48" s="283"/>
      <c r="H48" s="283"/>
      <c r="I48" s="283"/>
      <c r="J48" s="283"/>
      <c r="K48" s="283"/>
      <c r="L48" s="283"/>
      <c r="M48" s="283"/>
      <c r="N48" s="283"/>
      <c r="O48" s="403"/>
      <c r="P48" s="283"/>
      <c r="Q48" s="283"/>
      <c r="R48" s="283"/>
      <c r="S48" s="283"/>
      <c r="T48" s="403"/>
      <c r="U48" s="283"/>
      <c r="V48" s="283"/>
      <c r="W48" s="283"/>
      <c r="X48" s="283"/>
      <c r="Y48" s="253"/>
      <c r="Z48" s="403"/>
      <c r="AA48" s="283"/>
      <c r="AB48" s="283"/>
      <c r="AC48" s="283"/>
      <c r="AD48" s="283"/>
      <c r="AE48" s="403"/>
      <c r="AF48" s="403"/>
      <c r="AG48" s="403"/>
      <c r="AH48" s="403">
        <v>23645</v>
      </c>
      <c r="AI48" s="403"/>
      <c r="AJ48" s="281"/>
      <c r="AK48" s="281"/>
      <c r="AL48" s="281"/>
      <c r="AM48" s="281"/>
      <c r="AN48" s="253"/>
      <c r="AO48" s="281"/>
      <c r="AP48" s="281"/>
      <c r="AQ48" s="281"/>
      <c r="AR48" s="281"/>
      <c r="AS48" s="281"/>
      <c r="AT48" s="281"/>
      <c r="AU48" s="281"/>
      <c r="AV48" s="281"/>
      <c r="AW48" s="281"/>
      <c r="AX48" s="281"/>
      <c r="AY48" s="281"/>
      <c r="AZ48" s="281"/>
      <c r="BA48" s="254"/>
      <c r="BB48" s="283"/>
      <c r="BC48" s="283"/>
      <c r="BD48" s="283"/>
      <c r="BE48" s="281"/>
      <c r="BF48" s="248"/>
      <c r="BN48" s="249">
        <f>+AI42+BN47</f>
        <v>1873218</v>
      </c>
      <c r="BT48" s="232" t="s">
        <v>269</v>
      </c>
      <c r="BU48" s="449">
        <f>+SUM(BU43:BU47)</f>
        <v>1672277</v>
      </c>
      <c r="BV48" s="449">
        <f>+SUM(BV43:BV47)</f>
        <v>1398765</v>
      </c>
      <c r="BW48" s="449">
        <f>+SUM(BW43:BW47)</f>
        <v>273512</v>
      </c>
    </row>
    <row r="49" spans="25:75" x14ac:dyDescent="0.35">
      <c r="Y49" s="253" t="e">
        <f t="shared" si="7"/>
        <v>#DIV/0!</v>
      </c>
      <c r="AH49" s="234">
        <v>105990</v>
      </c>
      <c r="AN49" s="253"/>
    </row>
    <row r="50" spans="25:75" x14ac:dyDescent="0.35">
      <c r="AH50" s="234">
        <f>+'Tổng chi (M)'!AA7</f>
        <v>1822276.4066022525</v>
      </c>
      <c r="AJ50" s="234">
        <f>+AI43-1050000</f>
        <v>519300</v>
      </c>
      <c r="BV50" s="234">
        <v>1322649.1153657299</v>
      </c>
      <c r="BW50" s="245">
        <f>+BW42+BW43</f>
        <v>239332</v>
      </c>
    </row>
    <row r="51" spans="25:75" x14ac:dyDescent="0.35">
      <c r="AG51" s="234">
        <f>+AH43+AH45+AH48+AH49</f>
        <v>1610150</v>
      </c>
      <c r="AH51" s="234">
        <f>+AH50-AG45</f>
        <v>1761061.4066022525</v>
      </c>
      <c r="AJ51" s="234">
        <f>+AH43-900000*0.7</f>
        <v>789300</v>
      </c>
      <c r="BW51" s="233">
        <v>269027</v>
      </c>
    </row>
    <row r="52" spans="25:75" x14ac:dyDescent="0.35">
      <c r="AG52" s="234">
        <f>+AH11</f>
        <v>2107800</v>
      </c>
      <c r="AH52" s="234">
        <v>105990</v>
      </c>
      <c r="BW52" s="245">
        <f>+BW51-BW48-BW42</f>
        <v>-34485</v>
      </c>
    </row>
    <row r="53" spans="25:75" x14ac:dyDescent="0.35">
      <c r="AG53" s="234">
        <f>+AG52-AG51</f>
        <v>497650</v>
      </c>
      <c r="AH53" s="234">
        <f>+AH51-AH52</f>
        <v>1655071.4066022525</v>
      </c>
      <c r="BV53" s="245">
        <f>+BU44+BU45+BV46+BU47</f>
        <v>239738</v>
      </c>
    </row>
    <row r="54" spans="25:75" x14ac:dyDescent="0.35">
      <c r="BV54" s="245">
        <f>+BV42+BV43</f>
        <v>1329968</v>
      </c>
    </row>
    <row r="55" spans="25:75" x14ac:dyDescent="0.35">
      <c r="BV55" s="233">
        <v>1562387.1153657264</v>
      </c>
      <c r="BW55" s="245">
        <f>+BW48+BW42</f>
        <v>303512</v>
      </c>
    </row>
    <row r="56" spans="25:75" x14ac:dyDescent="0.35">
      <c r="AG56" s="234">
        <v>1361077</v>
      </c>
    </row>
    <row r="57" spans="25:75" x14ac:dyDescent="0.35">
      <c r="AG57" s="234">
        <f>+AG52-AG56</f>
        <v>746723</v>
      </c>
      <c r="AH57" s="234">
        <f>+AG57-AH45</f>
        <v>685508</v>
      </c>
      <c r="BV57" s="245">
        <f>+BV55-BV53-BV54</f>
        <v>-7318.8846342735924</v>
      </c>
      <c r="BW57" s="233">
        <v>150000</v>
      </c>
    </row>
    <row r="58" spans="25:75" x14ac:dyDescent="0.35">
      <c r="AH58" s="234">
        <f>+AH57-AH48</f>
        <v>661863</v>
      </c>
    </row>
    <row r="59" spans="25:75" x14ac:dyDescent="0.35">
      <c r="BW59" s="233">
        <v>150000</v>
      </c>
    </row>
    <row r="60" spans="25:75" x14ac:dyDescent="0.35">
      <c r="BW60" s="245">
        <f>+BW43-BW59</f>
        <v>59332</v>
      </c>
    </row>
    <row r="61" spans="25:75" x14ac:dyDescent="0.35">
      <c r="BW61" s="245">
        <f>+BW44+BW45+BW46+BW47+BW60</f>
        <v>123512</v>
      </c>
    </row>
  </sheetData>
  <mergeCells count="45">
    <mergeCell ref="AK3:AM3"/>
    <mergeCell ref="A3:AJ3"/>
    <mergeCell ref="A2:AI2"/>
    <mergeCell ref="AF5:AF6"/>
    <mergeCell ref="A5:A7"/>
    <mergeCell ref="B5:B7"/>
    <mergeCell ref="E6:E7"/>
    <mergeCell ref="AE5:AE6"/>
    <mergeCell ref="C5:C6"/>
    <mergeCell ref="D5:D6"/>
    <mergeCell ref="E5:I5"/>
    <mergeCell ref="J5:N5"/>
    <mergeCell ref="I6:I7"/>
    <mergeCell ref="J6:J7"/>
    <mergeCell ref="K6:K7"/>
    <mergeCell ref="L6:L7"/>
    <mergeCell ref="AY5:AZ5"/>
    <mergeCell ref="AY6:AY7"/>
    <mergeCell ref="AZ6:AZ7"/>
    <mergeCell ref="AA6:AA7"/>
    <mergeCell ref="AB6:AB7"/>
    <mergeCell ref="Z5:AD5"/>
    <mergeCell ref="AO6:AS6"/>
    <mergeCell ref="AT6:AX6"/>
    <mergeCell ref="AO5:AX5"/>
    <mergeCell ref="AC6:AC7"/>
    <mergeCell ref="AD6:AD7"/>
    <mergeCell ref="Z6:Z7"/>
    <mergeCell ref="AG5:AG6"/>
    <mergeCell ref="AH5:AH6"/>
    <mergeCell ref="AL4:AM4"/>
    <mergeCell ref="H6:H7"/>
    <mergeCell ref="T6:T7"/>
    <mergeCell ref="U6:U7"/>
    <mergeCell ref="V6:V7"/>
    <mergeCell ref="W6:W7"/>
    <mergeCell ref="X6:X7"/>
    <mergeCell ref="B4:AI4"/>
    <mergeCell ref="AI5:AI6"/>
    <mergeCell ref="F6:F7"/>
    <mergeCell ref="G6:G7"/>
    <mergeCell ref="O5:S5"/>
    <mergeCell ref="T5:X5"/>
    <mergeCell ref="M6:M7"/>
    <mergeCell ref="N6:N7"/>
  </mergeCells>
  <pageMargins left="0.45" right="0.2" top="0.5" bottom="0.25" header="0.3" footer="0.3"/>
  <pageSetup paperSize="9" scale="66"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15" sqref="D15"/>
    </sheetView>
  </sheetViews>
  <sheetFormatPr defaultRowHeight="15.6" x14ac:dyDescent="0.3"/>
  <cols>
    <col min="1" max="1" width="17.09765625" customWidth="1"/>
    <col min="2" max="2" width="14.5" style="46" bestFit="1" customWidth="1"/>
    <col min="3" max="3" width="10.69921875" customWidth="1"/>
    <col min="4" max="4" width="11.5" customWidth="1"/>
    <col min="5" max="5" width="10.09765625" bestFit="1" customWidth="1"/>
    <col min="6" max="6" width="11.09765625" bestFit="1" customWidth="1"/>
  </cols>
  <sheetData>
    <row r="1" spans="1:6" x14ac:dyDescent="0.3">
      <c r="A1" s="49" t="s">
        <v>167</v>
      </c>
      <c r="B1" s="46" t="s">
        <v>149</v>
      </c>
    </row>
    <row r="3" spans="1:6" s="47" customFormat="1" x14ac:dyDescent="0.3">
      <c r="A3" s="47" t="s">
        <v>155</v>
      </c>
      <c r="B3" s="48" t="s">
        <v>116</v>
      </c>
      <c r="C3" s="47" t="s">
        <v>151</v>
      </c>
      <c r="D3" s="47" t="s">
        <v>152</v>
      </c>
      <c r="E3" s="72" t="s">
        <v>49</v>
      </c>
      <c r="F3" s="72" t="s">
        <v>165</v>
      </c>
    </row>
    <row r="4" spans="1:6" x14ac:dyDescent="0.3">
      <c r="A4" t="s">
        <v>12</v>
      </c>
      <c r="B4" s="46">
        <f>'Tổng thu'!T8</f>
        <v>2586348</v>
      </c>
      <c r="C4" s="46">
        <f>+'Tổng thu'!AH8</f>
        <v>82.932569417514188</v>
      </c>
      <c r="D4" s="46">
        <f>+'Tổng thu'!AI8</f>
        <v>72.905010628583867</v>
      </c>
      <c r="E4" s="46">
        <f>B4/C4*100</f>
        <v>3118615.5429229951</v>
      </c>
      <c r="F4" s="46">
        <f>B4/D4*100</f>
        <v>3547558.6351344287</v>
      </c>
    </row>
    <row r="5" spans="1:6" x14ac:dyDescent="0.3">
      <c r="A5" t="s">
        <v>150</v>
      </c>
      <c r="B5" s="46">
        <f>'Tổng thu'!T9</f>
        <v>2331731</v>
      </c>
      <c r="C5" s="46">
        <f>+'Tổng thu'!AH9</f>
        <v>107.9992089025329</v>
      </c>
      <c r="D5" s="46">
        <f>+'Tổng thu'!AI9</f>
        <v>93.769519138507761</v>
      </c>
      <c r="E5" s="46">
        <f t="shared" ref="E5:E7" si="0">B5/C5*100</f>
        <v>2159026</v>
      </c>
      <c r="F5" s="46">
        <f t="shared" ref="F5:F7" si="1">B5/D5*100</f>
        <v>2486662.0000000005</v>
      </c>
    </row>
    <row r="6" spans="1:6" x14ac:dyDescent="0.3">
      <c r="A6" t="s">
        <v>153</v>
      </c>
      <c r="B6" s="46">
        <f>'Tổng thu'!T12</f>
        <v>185509</v>
      </c>
      <c r="C6" s="46">
        <f>+'Tổng thu'!AH12</f>
        <v>58.153291536050155</v>
      </c>
      <c r="D6" s="46">
        <f>+C6</f>
        <v>58.153291536050155</v>
      </c>
      <c r="E6" s="46">
        <f t="shared" si="0"/>
        <v>319000</v>
      </c>
      <c r="F6" s="46">
        <f t="shared" si="1"/>
        <v>319000</v>
      </c>
    </row>
    <row r="7" spans="1:6" x14ac:dyDescent="0.3">
      <c r="A7" t="s">
        <v>154</v>
      </c>
      <c r="B7" s="46">
        <f>'Tổng thu'!T30</f>
        <v>1802521</v>
      </c>
      <c r="C7" s="46">
        <f>+'Tổng thu'!AH30</f>
        <v>106.03064705882352</v>
      </c>
      <c r="D7" s="46">
        <f>+'Tổng thu'!AI30</f>
        <v>89.233712871287125</v>
      </c>
      <c r="E7" s="46">
        <f t="shared" si="0"/>
        <v>1700000</v>
      </c>
      <c r="F7" s="46">
        <f t="shared" si="1"/>
        <v>2020000</v>
      </c>
    </row>
    <row r="11" spans="1:6" s="47" customFormat="1" x14ac:dyDescent="0.3">
      <c r="A11" s="47" t="s">
        <v>156</v>
      </c>
      <c r="B11" s="47" t="s">
        <v>157</v>
      </c>
      <c r="C11" s="48" t="s">
        <v>10</v>
      </c>
      <c r="D11" s="47" t="s">
        <v>157</v>
      </c>
      <c r="E11" s="48" t="s">
        <v>11</v>
      </c>
      <c r="F11" s="47" t="s">
        <v>157</v>
      </c>
    </row>
    <row r="12" spans="1:6" x14ac:dyDescent="0.3">
      <c r="A12" s="46" t="e">
        <f>'Tổng chi'!#REF!</f>
        <v>#REF!</v>
      </c>
      <c r="B12" s="71" t="e">
        <f>A12/'Tổng chi'!M7</f>
        <v>#REF!</v>
      </c>
      <c r="C12" s="46" t="e">
        <f>'Tổng chi'!#REF!</f>
        <v>#REF!</v>
      </c>
      <c r="D12" s="71" t="e">
        <f>C12/'Tổng chi'!N7</f>
        <v>#REF!</v>
      </c>
      <c r="E12" s="46" t="e">
        <f>+'Tổng chi'!#REF!</f>
        <v>#REF!</v>
      </c>
      <c r="F12" s="71" t="e">
        <f>E12/'Tổng chi'!O7</f>
        <v>#REF!</v>
      </c>
    </row>
    <row r="13" spans="1:6" x14ac:dyDescent="0.3">
      <c r="B13" s="46">
        <f>'Tổng chi'!M7</f>
        <v>2160666.2910446962</v>
      </c>
      <c r="D13" s="46">
        <f>'Tổng chi'!N7</f>
        <v>1849249.9180931258</v>
      </c>
      <c r="F13" s="46">
        <f>'Tổng chi'!O7</f>
        <v>311416.37295157072</v>
      </c>
    </row>
    <row r="14" spans="1:6" x14ac:dyDescent="0.3">
      <c r="A14" t="s">
        <v>158</v>
      </c>
      <c r="B14" s="46" t="s">
        <v>159</v>
      </c>
      <c r="C14" s="46">
        <f>+'Du phong'!D5/1000000</f>
        <v>14874.342000000001</v>
      </c>
    </row>
    <row r="15" spans="1:6" x14ac:dyDescent="0.3">
      <c r="B15" s="46" t="s">
        <v>91</v>
      </c>
      <c r="C15" s="46">
        <f>+'Chi khac'!D5/1000000</f>
        <v>521.9</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view="pageBreakPreview" zoomScale="60" zoomScaleNormal="115" workbookViewId="0">
      <pane xSplit="2" ySplit="9" topLeftCell="C10" activePane="bottomRight" state="frozen"/>
      <selection activeCell="B16" sqref="B16"/>
      <selection pane="topRight" activeCell="B16" sqref="B16"/>
      <selection pane="bottomLeft" activeCell="B16" sqref="B16"/>
      <selection pane="bottomRight" activeCell="B16" sqref="B16"/>
    </sheetView>
  </sheetViews>
  <sheetFormatPr defaultColWidth="9.69921875" defaultRowHeight="18" x14ac:dyDescent="0.35"/>
  <cols>
    <col min="1" max="1" width="4.59765625" style="413" customWidth="1"/>
    <col min="2" max="2" width="23.19921875" style="413" customWidth="1"/>
    <col min="3" max="3" width="8.8984375" style="413" customWidth="1"/>
    <col min="4" max="4" width="10" style="413" hidden="1" customWidth="1"/>
    <col min="5" max="5" width="8.8984375" style="413" customWidth="1"/>
    <col min="6" max="7" width="6" style="413" customWidth="1"/>
    <col min="8" max="8" width="8.8984375" style="413" customWidth="1"/>
    <col min="9" max="9" width="8.8984375" style="413" hidden="1" customWidth="1"/>
    <col min="10" max="10" width="8.8984375" style="414" customWidth="1"/>
    <col min="11" max="12" width="6" style="413" customWidth="1"/>
    <col min="13" max="13" width="8.09765625" style="413" customWidth="1"/>
    <col min="14" max="14" width="7.69921875" style="413" customWidth="1"/>
    <col min="15" max="15" width="6.69921875" style="413" hidden="1" customWidth="1"/>
    <col min="16" max="17" width="6.69921875" style="413" customWidth="1"/>
    <col min="18" max="18" width="7.59765625" style="413" customWidth="1"/>
    <col min="19" max="20" width="6.69921875" style="413" customWidth="1"/>
    <col min="21" max="21" width="7.59765625" style="413" customWidth="1"/>
    <col min="22" max="22" width="6.69921875" style="413" customWidth="1"/>
    <col min="23" max="23" width="6.59765625" style="413" hidden="1" customWidth="1"/>
    <col min="24" max="24" width="7.69921875" style="413" customWidth="1"/>
    <col min="25" max="25" width="8.09765625" style="413" customWidth="1"/>
    <col min="26" max="28" width="7.09765625" style="413" customWidth="1"/>
    <col min="29" max="29" width="9.19921875" style="413" customWidth="1"/>
    <col min="30" max="30" width="7" style="413" customWidth="1"/>
    <col min="31" max="31" width="8.69921875" style="413" customWidth="1"/>
    <col min="32" max="32" width="0.59765625" style="413" hidden="1" customWidth="1"/>
    <col min="33" max="33" width="7" style="413" customWidth="1"/>
    <col min="34" max="16384" width="9.69921875" style="413"/>
  </cols>
  <sheetData>
    <row r="1" spans="1:34" ht="22.5" customHeight="1" x14ac:dyDescent="0.35">
      <c r="A1" s="484"/>
      <c r="B1" s="484"/>
      <c r="C1" s="484"/>
      <c r="D1" s="484"/>
      <c r="E1" s="485" t="s">
        <v>487</v>
      </c>
      <c r="F1" s="485"/>
      <c r="G1" s="485"/>
      <c r="H1" s="485"/>
      <c r="I1" s="485"/>
      <c r="J1" s="485"/>
      <c r="K1" s="485"/>
      <c r="L1" s="485"/>
      <c r="M1" s="485"/>
      <c r="N1" s="485"/>
      <c r="O1" s="485"/>
      <c r="P1" s="485"/>
      <c r="Q1" s="485"/>
      <c r="R1" s="485"/>
      <c r="S1" s="485"/>
      <c r="T1" s="485"/>
      <c r="U1" s="485"/>
      <c r="V1" s="485"/>
      <c r="W1" s="485"/>
      <c r="X1" s="485"/>
      <c r="Y1" s="485"/>
      <c r="Z1" s="485"/>
      <c r="AA1" s="485"/>
      <c r="AB1" s="485"/>
      <c r="AC1" s="485"/>
      <c r="AE1" s="483" t="s">
        <v>240</v>
      </c>
      <c r="AF1" s="483"/>
      <c r="AG1" s="483"/>
    </row>
    <row r="2" spans="1:34" x14ac:dyDescent="0.35">
      <c r="A2" s="486"/>
      <c r="B2" s="486"/>
      <c r="C2" s="486"/>
      <c r="D2" s="486"/>
      <c r="E2" s="486"/>
      <c r="F2" s="486"/>
      <c r="G2" s="486"/>
      <c r="H2" s="486"/>
      <c r="I2" s="443"/>
      <c r="J2" s="443"/>
      <c r="K2" s="443"/>
      <c r="L2" s="443"/>
      <c r="M2" s="443"/>
      <c r="N2" s="443"/>
      <c r="O2" s="443"/>
      <c r="P2" s="443"/>
      <c r="Q2" s="443"/>
      <c r="R2" s="443"/>
      <c r="S2" s="443"/>
      <c r="T2" s="443"/>
      <c r="U2" s="443"/>
    </row>
    <row r="3" spans="1:34" s="434" customFormat="1" ht="18.75" customHeight="1" x14ac:dyDescent="0.3">
      <c r="A3" s="487"/>
      <c r="B3" s="487"/>
      <c r="C3" s="487"/>
      <c r="D3" s="487"/>
      <c r="E3" s="487"/>
      <c r="F3" s="487"/>
      <c r="J3" s="419"/>
      <c r="AC3" s="442" t="s">
        <v>351</v>
      </c>
    </row>
    <row r="4" spans="1:34" s="441" customFormat="1" ht="18.75" customHeight="1" x14ac:dyDescent="0.25">
      <c r="A4" s="480" t="s">
        <v>1</v>
      </c>
      <c r="B4" s="480" t="s">
        <v>207</v>
      </c>
      <c r="C4" s="489" t="s">
        <v>486</v>
      </c>
      <c r="D4" s="502"/>
      <c r="E4" s="489"/>
      <c r="F4" s="502"/>
      <c r="G4" s="490"/>
      <c r="H4" s="489" t="s">
        <v>485</v>
      </c>
      <c r="I4" s="502"/>
      <c r="J4" s="502"/>
      <c r="K4" s="502"/>
      <c r="L4" s="490"/>
      <c r="M4" s="497" t="s">
        <v>484</v>
      </c>
      <c r="N4" s="498"/>
      <c r="O4" s="498"/>
      <c r="P4" s="498"/>
      <c r="Q4" s="498"/>
      <c r="R4" s="498"/>
      <c r="S4" s="498"/>
      <c r="T4" s="498"/>
      <c r="U4" s="498"/>
      <c r="V4" s="498"/>
      <c r="W4" s="498"/>
      <c r="X4" s="498"/>
      <c r="Y4" s="498"/>
      <c r="Z4" s="498"/>
      <c r="AA4" s="498"/>
      <c r="AB4" s="498"/>
      <c r="AC4" s="498"/>
      <c r="AD4" s="498"/>
      <c r="AE4" s="498"/>
      <c r="AF4" s="498"/>
      <c r="AG4" s="499"/>
    </row>
    <row r="5" spans="1:34" s="441" customFormat="1" ht="13.5" customHeight="1" x14ac:dyDescent="0.25">
      <c r="A5" s="481"/>
      <c r="B5" s="481"/>
      <c r="C5" s="489" t="s">
        <v>483</v>
      </c>
      <c r="D5" s="490"/>
      <c r="E5" s="491" t="s">
        <v>482</v>
      </c>
      <c r="F5" s="492"/>
      <c r="G5" s="493"/>
      <c r="H5" s="494" t="s">
        <v>483</v>
      </c>
      <c r="I5" s="495"/>
      <c r="J5" s="491" t="s">
        <v>482</v>
      </c>
      <c r="K5" s="492"/>
      <c r="L5" s="493"/>
      <c r="M5" s="488" t="s">
        <v>481</v>
      </c>
      <c r="N5" s="488"/>
      <c r="O5" s="488"/>
      <c r="P5" s="488"/>
      <c r="Q5" s="488"/>
      <c r="R5" s="488" t="s">
        <v>480</v>
      </c>
      <c r="S5" s="488"/>
      <c r="T5" s="488"/>
      <c r="U5" s="488" t="s">
        <v>479</v>
      </c>
      <c r="V5" s="488"/>
      <c r="W5" s="488"/>
      <c r="X5" s="488"/>
      <c r="Y5" s="488" t="s">
        <v>478</v>
      </c>
      <c r="Z5" s="488"/>
      <c r="AA5" s="488"/>
      <c r="AB5" s="488"/>
      <c r="AC5" s="480" t="s">
        <v>477</v>
      </c>
      <c r="AD5" s="480" t="s">
        <v>476</v>
      </c>
      <c r="AE5" s="480" t="s">
        <v>475</v>
      </c>
      <c r="AF5" s="480" t="s">
        <v>474</v>
      </c>
      <c r="AG5" s="480" t="s">
        <v>473</v>
      </c>
    </row>
    <row r="6" spans="1:34" s="441" customFormat="1" ht="17.25" customHeight="1" x14ac:dyDescent="0.25">
      <c r="A6" s="481"/>
      <c r="B6" s="481"/>
      <c r="C6" s="480" t="s">
        <v>472</v>
      </c>
      <c r="D6" s="480" t="s">
        <v>471</v>
      </c>
      <c r="E6" s="480" t="s">
        <v>470</v>
      </c>
      <c r="F6" s="491" t="s">
        <v>469</v>
      </c>
      <c r="G6" s="493"/>
      <c r="H6" s="480" t="s">
        <v>472</v>
      </c>
      <c r="I6" s="496" t="s">
        <v>471</v>
      </c>
      <c r="J6" s="480" t="s">
        <v>470</v>
      </c>
      <c r="K6" s="491" t="s">
        <v>469</v>
      </c>
      <c r="L6" s="493"/>
      <c r="M6" s="496" t="s">
        <v>468</v>
      </c>
      <c r="N6" s="488" t="s">
        <v>467</v>
      </c>
      <c r="O6" s="488"/>
      <c r="P6" s="488"/>
      <c r="Q6" s="488"/>
      <c r="R6" s="496" t="s">
        <v>466</v>
      </c>
      <c r="S6" s="488" t="s">
        <v>158</v>
      </c>
      <c r="T6" s="488"/>
      <c r="U6" s="496" t="s">
        <v>465</v>
      </c>
      <c r="V6" s="488" t="s">
        <v>158</v>
      </c>
      <c r="W6" s="488"/>
      <c r="X6" s="488"/>
      <c r="Y6" s="496" t="s">
        <v>465</v>
      </c>
      <c r="Z6" s="497" t="s">
        <v>158</v>
      </c>
      <c r="AA6" s="498"/>
      <c r="AB6" s="499"/>
      <c r="AC6" s="481"/>
      <c r="AD6" s="481"/>
      <c r="AE6" s="481"/>
      <c r="AF6" s="481"/>
      <c r="AG6" s="481"/>
    </row>
    <row r="7" spans="1:34" s="441" customFormat="1" ht="15.75" customHeight="1" x14ac:dyDescent="0.25">
      <c r="A7" s="481"/>
      <c r="B7" s="481"/>
      <c r="C7" s="481"/>
      <c r="D7" s="481"/>
      <c r="E7" s="481"/>
      <c r="F7" s="480" t="s">
        <v>464</v>
      </c>
      <c r="G7" s="480" t="s">
        <v>463</v>
      </c>
      <c r="H7" s="481"/>
      <c r="I7" s="496"/>
      <c r="J7" s="481"/>
      <c r="K7" s="480" t="s">
        <v>464</v>
      </c>
      <c r="L7" s="480" t="s">
        <v>463</v>
      </c>
      <c r="M7" s="496"/>
      <c r="N7" s="496" t="s">
        <v>462</v>
      </c>
      <c r="O7" s="496" t="s">
        <v>21</v>
      </c>
      <c r="P7" s="496" t="s">
        <v>22</v>
      </c>
      <c r="Q7" s="496" t="s">
        <v>461</v>
      </c>
      <c r="R7" s="496"/>
      <c r="S7" s="496" t="s">
        <v>460</v>
      </c>
      <c r="T7" s="496" t="s">
        <v>459</v>
      </c>
      <c r="U7" s="496"/>
      <c r="V7" s="496" t="s">
        <v>458</v>
      </c>
      <c r="W7" s="496" t="s">
        <v>457</v>
      </c>
      <c r="X7" s="496" t="s">
        <v>456</v>
      </c>
      <c r="Y7" s="496"/>
      <c r="Z7" s="496" t="s">
        <v>455</v>
      </c>
      <c r="AA7" s="496" t="s">
        <v>454</v>
      </c>
      <c r="AB7" s="496" t="s">
        <v>453</v>
      </c>
      <c r="AC7" s="481"/>
      <c r="AD7" s="481"/>
      <c r="AE7" s="481"/>
      <c r="AF7" s="481"/>
      <c r="AG7" s="481"/>
    </row>
    <row r="8" spans="1:34" s="441" customFormat="1" ht="29.25" customHeight="1" x14ac:dyDescent="0.25">
      <c r="A8" s="482"/>
      <c r="B8" s="482"/>
      <c r="C8" s="482"/>
      <c r="D8" s="482"/>
      <c r="E8" s="482"/>
      <c r="F8" s="482"/>
      <c r="G8" s="482"/>
      <c r="H8" s="482"/>
      <c r="I8" s="496"/>
      <c r="J8" s="482"/>
      <c r="K8" s="482"/>
      <c r="L8" s="482"/>
      <c r="M8" s="496"/>
      <c r="N8" s="496"/>
      <c r="O8" s="496"/>
      <c r="P8" s="496"/>
      <c r="Q8" s="496"/>
      <c r="R8" s="496"/>
      <c r="S8" s="496"/>
      <c r="T8" s="496"/>
      <c r="U8" s="496"/>
      <c r="V8" s="496"/>
      <c r="W8" s="496"/>
      <c r="X8" s="496"/>
      <c r="Y8" s="496"/>
      <c r="Z8" s="496"/>
      <c r="AA8" s="496"/>
      <c r="AB8" s="496"/>
      <c r="AC8" s="482"/>
      <c r="AD8" s="482"/>
      <c r="AE8" s="482"/>
      <c r="AF8" s="482"/>
      <c r="AG8" s="482"/>
    </row>
    <row r="9" spans="1:34" s="434" customFormat="1" ht="21.75" hidden="1" customHeight="1" x14ac:dyDescent="0.3">
      <c r="A9" s="433" t="s">
        <v>51</v>
      </c>
      <c r="B9" s="433" t="s">
        <v>97</v>
      </c>
      <c r="C9" s="440">
        <v>1</v>
      </c>
      <c r="D9" s="440">
        <v>2</v>
      </c>
      <c r="E9" s="440">
        <v>3</v>
      </c>
      <c r="F9" s="440">
        <v>4</v>
      </c>
      <c r="G9" s="440">
        <v>5</v>
      </c>
      <c r="H9" s="440"/>
      <c r="I9" s="440"/>
      <c r="J9" s="440"/>
      <c r="K9" s="440"/>
      <c r="L9" s="440"/>
      <c r="M9" s="440">
        <v>6</v>
      </c>
      <c r="N9" s="440">
        <v>7</v>
      </c>
      <c r="O9" s="440">
        <v>8</v>
      </c>
      <c r="P9" s="440">
        <v>9</v>
      </c>
      <c r="Q9" s="440">
        <v>10</v>
      </c>
      <c r="R9" s="440">
        <v>11</v>
      </c>
      <c r="S9" s="440">
        <v>12</v>
      </c>
      <c r="T9" s="440">
        <v>13</v>
      </c>
      <c r="U9" s="440">
        <v>14</v>
      </c>
      <c r="V9" s="440">
        <v>15</v>
      </c>
      <c r="W9" s="440">
        <v>16</v>
      </c>
      <c r="X9" s="440">
        <v>17</v>
      </c>
      <c r="Y9" s="440">
        <v>18</v>
      </c>
      <c r="Z9" s="440">
        <v>19</v>
      </c>
      <c r="AA9" s="440"/>
      <c r="AB9" s="440">
        <v>20</v>
      </c>
      <c r="AC9" s="440">
        <v>21</v>
      </c>
      <c r="AD9" s="440">
        <v>22</v>
      </c>
      <c r="AE9" s="440">
        <v>23</v>
      </c>
      <c r="AF9" s="440">
        <v>24</v>
      </c>
      <c r="AG9" s="440">
        <v>25</v>
      </c>
      <c r="AH9" s="419" t="s">
        <v>452</v>
      </c>
    </row>
    <row r="10" spans="1:34" s="434" customFormat="1" ht="24.75" customHeight="1" x14ac:dyDescent="0.3">
      <c r="A10" s="436">
        <v>1</v>
      </c>
      <c r="B10" s="435" t="s">
        <v>217</v>
      </c>
      <c r="C10" s="421">
        <f>VLOOKUP(A10,'[2]TỔNG HỢP DT - sếp duyệt'!$A$8:$CC$41,3,0)</f>
        <v>412815</v>
      </c>
      <c r="D10" s="421">
        <f>VLOOKUP(A10,'[2]TỔNG HỢP DT - sếp duyệt'!$A$8:$CC$41,5,0)</f>
        <v>687100</v>
      </c>
      <c r="E10" s="421">
        <f>VLOOKUP(A10,'[2]TỔNG HỢP DT - sếp duyệt'!$A$8:$CC$41,6,0)</f>
        <v>624011.30000000005</v>
      </c>
      <c r="F10" s="421">
        <f t="shared" ref="F10:F28" si="0">E10/C10*100</f>
        <v>151.16003536693194</v>
      </c>
      <c r="G10" s="421">
        <f t="shared" ref="G10:G28" si="1">E10/D10*100</f>
        <v>90.818119633241167</v>
      </c>
      <c r="H10" s="421">
        <f>VLOOKUP(A10,'[2]TỔNG HỢP DT - sếp duyệt'!$A$8:$CC$41,9,0)</f>
        <v>32815</v>
      </c>
      <c r="I10" s="421">
        <f>VLOOKUP(A10,'[2]TỔNG HỢP DT - sếp duyệt'!$A$8:$CC$41,10,0)</f>
        <v>22100</v>
      </c>
      <c r="J10" s="421">
        <f>VLOOKUP(A10,'[2]TỔNG HỢP DT - sếp duyệt'!$A$8:$CC$41,11,0)</f>
        <v>24011.300000000047</v>
      </c>
      <c r="K10" s="421">
        <f t="shared" ref="K10:K28" si="2">J10/H10*100</f>
        <v>73.171720249885865</v>
      </c>
      <c r="L10" s="421">
        <f t="shared" ref="L10:L28" si="3">J10/I10*100</f>
        <v>108.64841628959296</v>
      </c>
      <c r="M10" s="421">
        <f>SUM(N10:Q10)</f>
        <v>2429</v>
      </c>
      <c r="N10" s="421">
        <f>VLOOKUP(A10,'[2]TỔNG HỢP DT - sếp duyệt'!$A$8:$CC$41,17,0)</f>
        <v>2427</v>
      </c>
      <c r="O10" s="421"/>
      <c r="P10" s="421">
        <f>VLOOKUP(A10,'[2]TỔNG HỢP DT - sếp duyệt'!$A$8:$CC$41,24,0)</f>
        <v>2</v>
      </c>
      <c r="Q10" s="421">
        <f>VLOOKUP(A10,'[2]TỔNG HỢP DT - sếp duyệt'!$A$8:$CC$41,30,0)</f>
        <v>0</v>
      </c>
      <c r="R10" s="421">
        <f>S10+T10</f>
        <v>7000</v>
      </c>
      <c r="S10" s="421">
        <f>VLOOKUP(A10,'[2]TỔNG HỢP DT - sếp duyệt'!$A$8:$CC$41,62,0)</f>
        <v>7000</v>
      </c>
      <c r="T10" s="421"/>
      <c r="U10" s="421">
        <f>V10+W10+X10</f>
        <v>12400</v>
      </c>
      <c r="V10" s="421">
        <f>VLOOKUP(A10,'[2]TỔNG HỢP DT - sếp duyệt'!$A$8:$CC$41,36,0)</f>
        <v>1400</v>
      </c>
      <c r="W10" s="421"/>
      <c r="X10" s="421">
        <f>VLOOKUP(A10,'[2]TỔNG HỢP DT - sếp duyệt'!$A$8:$CC$41,43,0)</f>
        <v>11000</v>
      </c>
      <c r="Y10" s="421">
        <f>Z10+AB10+AA10</f>
        <v>600.29999999999995</v>
      </c>
      <c r="Z10" s="421">
        <f>VLOOKUP(A10,'[2]TH MB 2023'!$A$3:$F$20,5,0)</f>
        <v>350</v>
      </c>
      <c r="AA10" s="421">
        <f>VLOOKUP(A10,'[2]TH MB 2023'!$A$3:$F$20,6,0)</f>
        <v>100.3</v>
      </c>
      <c r="AB10" s="421">
        <f>VLOOKUP(A10,'[2]TỔNG HỢP DT - sếp duyệt'!$A$8:$CC$41,56,0)</f>
        <v>150</v>
      </c>
      <c r="AC10" s="421">
        <f>VLOOKUP(A10,'[2]TỔNG HỢP DT - sếp duyệt'!$A$8:$CC$41,69,0)</f>
        <v>600000</v>
      </c>
      <c r="AD10" s="421"/>
      <c r="AE10" s="421">
        <f>VLOOKUP(A10,'[2]TỔNG HỢP DT - sếp duyệt'!$A$8:$CC$41,75,0)</f>
        <v>1082</v>
      </c>
      <c r="AF10" s="421"/>
      <c r="AG10" s="421">
        <f>VLOOKUP(A10,'[2]TỔNG HỢP DT - sếp duyệt'!$A$8:$CC$41,81,0)</f>
        <v>500</v>
      </c>
    </row>
    <row r="11" spans="1:34" s="434" customFormat="1" ht="24.75" customHeight="1" x14ac:dyDescent="0.3">
      <c r="A11" s="436">
        <v>2</v>
      </c>
      <c r="B11" s="435" t="s">
        <v>221</v>
      </c>
      <c r="C11" s="421">
        <f>VLOOKUP(A11,'[2]TỔNG HỢP DT - sếp duyệt'!$A$8:$CC$41,3,0)</f>
        <v>1990</v>
      </c>
      <c r="D11" s="421">
        <f>VLOOKUP(A11,'[2]TỔNG HỢP DT - sếp duyệt'!$A$8:$CC$41,5,0)</f>
        <v>2535.7233999999999</v>
      </c>
      <c r="E11" s="421">
        <f>VLOOKUP(A11,'[2]TỔNG HỢP DT - sếp duyệt'!$A$8:$CC$41,6,0)</f>
        <v>1569</v>
      </c>
      <c r="F11" s="421">
        <f t="shared" si="0"/>
        <v>78.844221105527637</v>
      </c>
      <c r="G11" s="421">
        <f t="shared" si="1"/>
        <v>61.87583393362226</v>
      </c>
      <c r="H11" s="421">
        <f>VLOOKUP(A11,'[2]TỔNG HỢP DT - sếp duyệt'!$A$8:$CC$41,9,0)</f>
        <v>1990</v>
      </c>
      <c r="I11" s="421">
        <f>VLOOKUP(A11,'[2]TỔNG HỢP DT - sếp duyệt'!$A$8:$CC$41,10,0)</f>
        <v>2185.7233999999999</v>
      </c>
      <c r="J11" s="421">
        <f>VLOOKUP(A11,'[2]TỔNG HỢP DT - sếp duyệt'!$A$8:$CC$41,11,0)</f>
        <v>1569</v>
      </c>
      <c r="K11" s="421">
        <f t="shared" si="2"/>
        <v>78.844221105527637</v>
      </c>
      <c r="L11" s="421">
        <f t="shared" si="3"/>
        <v>71.784014390841961</v>
      </c>
      <c r="M11" s="421">
        <f>SUM(N11:Q11)</f>
        <v>135</v>
      </c>
      <c r="N11" s="421">
        <f>VLOOKUP(A11,'[2]TỔNG HỢP DT - sếp duyệt'!$A$8:$CC$41,17,0)</f>
        <v>127</v>
      </c>
      <c r="O11" s="421"/>
      <c r="P11" s="421">
        <f>VLOOKUP(A11,'[2]TỔNG HỢP DT - sếp duyệt'!$A$8:$CC$41,24,0)</f>
        <v>3</v>
      </c>
      <c r="Q11" s="421">
        <f>VLOOKUP(A11,'[2]TỔNG HỢP DT - sếp duyệt'!$A$8:$CC$41,30,0)</f>
        <v>5</v>
      </c>
      <c r="R11" s="421">
        <f>S11+T11</f>
        <v>150</v>
      </c>
      <c r="S11" s="421">
        <f>VLOOKUP(A11,'[2]TỔNG HỢP DT - sếp duyệt'!$A$8:$CC$41,62,0)</f>
        <v>150</v>
      </c>
      <c r="T11" s="421"/>
      <c r="U11" s="421">
        <f>V11+W11+X11</f>
        <v>863</v>
      </c>
      <c r="V11" s="421">
        <f>VLOOKUP(A11,'[2]TỔNG HỢP DT - sếp duyệt'!$A$8:$CC$41,36,0)</f>
        <v>63</v>
      </c>
      <c r="W11" s="421"/>
      <c r="X11" s="421">
        <f>VLOOKUP(A11,'[2]TỔNG HỢP DT - sếp duyệt'!$A$8:$CC$41,43,0)</f>
        <v>800</v>
      </c>
      <c r="Y11" s="421">
        <f>Z11+AB11+AA11</f>
        <v>160</v>
      </c>
      <c r="Z11" s="421">
        <f>VLOOKUP(A11,'[2]TH MB 2023'!$A$3:$F$20,5,0)</f>
        <v>73</v>
      </c>
      <c r="AA11" s="421">
        <f>VLOOKUP(A11,'[2]TH MB 2023'!$A$3:$F$20,6,0)</f>
        <v>7</v>
      </c>
      <c r="AB11" s="421">
        <f>VLOOKUP(A11,'[2]TỔNG HỢP DT - sếp duyệt'!$A$8:$CC$41,56,0)</f>
        <v>80</v>
      </c>
      <c r="AC11" s="421">
        <f>VLOOKUP(A11,'[2]TỔNG HỢP DT - sếp duyệt'!$A$8:$CC$41,69,0)</f>
        <v>0</v>
      </c>
      <c r="AD11" s="421"/>
      <c r="AE11" s="421">
        <f>VLOOKUP(A11,'[2]TỔNG HỢP DT - sếp duyệt'!$A$8:$CC$41,75,0)</f>
        <v>161</v>
      </c>
      <c r="AF11" s="421"/>
      <c r="AG11" s="421">
        <f>VLOOKUP(A11,'[2]TỔNG HỢP DT - sếp duyệt'!$A$8:$CC$41,81,0)</f>
        <v>100</v>
      </c>
    </row>
    <row r="12" spans="1:34" s="434" customFormat="1" ht="24.75" customHeight="1" x14ac:dyDescent="0.3">
      <c r="A12" s="436">
        <v>3</v>
      </c>
      <c r="B12" s="435" t="s">
        <v>222</v>
      </c>
      <c r="C12" s="421">
        <f>VLOOKUP(A12,'[2]TỔNG HỢP DT - sếp duyệt'!$A$8:$CC$41,3,0)</f>
        <v>11900</v>
      </c>
      <c r="D12" s="421">
        <f>VLOOKUP(A12,'[2]TỔNG HỢP DT - sếp duyệt'!$A$8:$CC$41,5,0)</f>
        <v>2717.5206000000003</v>
      </c>
      <c r="E12" s="421">
        <f>VLOOKUP(A12,'[2]TỔNG HỢP DT - sếp duyệt'!$A$8:$CC$41,6,0)</f>
        <v>16838</v>
      </c>
      <c r="F12" s="421">
        <f t="shared" si="0"/>
        <v>141.49579831932772</v>
      </c>
      <c r="G12" s="421">
        <f t="shared" si="1"/>
        <v>619.60891851196993</v>
      </c>
      <c r="H12" s="421">
        <f>VLOOKUP(A12,'[2]TỔNG HỢP DT - sếp duyệt'!$A$8:$CC$41,9,0)</f>
        <v>1900</v>
      </c>
      <c r="I12" s="421">
        <f>VLOOKUP(A12,'[2]TỔNG HỢP DT - sếp duyệt'!$A$8:$CC$41,10,0)</f>
        <v>2257.5206000000003</v>
      </c>
      <c r="J12" s="421">
        <f>VLOOKUP(A12,'[2]TỔNG HỢP DT - sếp duyệt'!$A$8:$CC$41,11,0)</f>
        <v>1838</v>
      </c>
      <c r="K12" s="421">
        <f t="shared" si="2"/>
        <v>96.73684210526315</v>
      </c>
      <c r="L12" s="421">
        <f t="shared" si="3"/>
        <v>81.416754292297483</v>
      </c>
      <c r="M12" s="421">
        <f>SUM(N12:Q12)</f>
        <v>314</v>
      </c>
      <c r="N12" s="421">
        <f>VLOOKUP(A12,'[2]TỔNG HỢP DT - sếp duyệt'!$A$8:$CC$41,17,0)</f>
        <v>304</v>
      </c>
      <c r="O12" s="421"/>
      <c r="P12" s="421">
        <f>VLOOKUP(A12,'[2]TỔNG HỢP DT - sếp duyệt'!$A$8:$CC$41,24,0)</f>
        <v>0</v>
      </c>
      <c r="Q12" s="421">
        <f>VLOOKUP(A12,'[2]TỔNG HỢP DT - sếp duyệt'!$A$8:$CC$41,30,0)</f>
        <v>10</v>
      </c>
      <c r="R12" s="421">
        <f>S12+T12</f>
        <v>200</v>
      </c>
      <c r="S12" s="421">
        <f>VLOOKUP(A12,'[2]TỔNG HỢP DT - sếp duyệt'!$A$8:$CC$41,62,0)</f>
        <v>200</v>
      </c>
      <c r="T12" s="421"/>
      <c r="U12" s="421">
        <f>V12+W12+X12</f>
        <v>755</v>
      </c>
      <c r="V12" s="421">
        <f>VLOOKUP(A12,'[2]TỔNG HỢP DT - sếp duyệt'!$A$8:$CC$41,36,0)</f>
        <v>155</v>
      </c>
      <c r="W12" s="421"/>
      <c r="X12" s="421">
        <f>VLOOKUP(A12,'[2]TỔNG HỢP DT - sếp duyệt'!$A$8:$CC$41,43,0)</f>
        <v>600</v>
      </c>
      <c r="Y12" s="421">
        <f>Z12+AB12+AA12</f>
        <v>160</v>
      </c>
      <c r="Z12" s="421">
        <f>VLOOKUP(A12,'[2]TH MB 2023'!$A$3:$F$20,5,0)</f>
        <v>56</v>
      </c>
      <c r="AA12" s="421">
        <f>VLOOKUP(A12,'[2]TH MB 2023'!$A$3:$F$20,6,0)</f>
        <v>14</v>
      </c>
      <c r="AB12" s="421">
        <f>VLOOKUP(A12,'[2]TỔNG HỢP DT - sếp duyệt'!$A$8:$CC$41,56,0)</f>
        <v>90</v>
      </c>
      <c r="AC12" s="421">
        <f>VLOOKUP(A12,'[2]TỔNG HỢP DT - sếp duyệt'!$A$8:$CC$41,69,0)</f>
        <v>15000</v>
      </c>
      <c r="AD12" s="421"/>
      <c r="AE12" s="421">
        <f>VLOOKUP(A12,'[2]TỔNG HỢP DT - sếp duyệt'!$A$8:$CC$41,75,0)</f>
        <v>209</v>
      </c>
      <c r="AF12" s="421"/>
      <c r="AG12" s="421">
        <f>VLOOKUP(A12,'[2]TỔNG HỢP DT - sếp duyệt'!$A$8:$CC$41,81,0)</f>
        <v>200</v>
      </c>
    </row>
    <row r="13" spans="1:34" s="437" customFormat="1" ht="24.75" customHeight="1" x14ac:dyDescent="0.3">
      <c r="A13" s="432"/>
      <c r="B13" s="438" t="s">
        <v>451</v>
      </c>
      <c r="C13" s="420">
        <f>SUM(C10:C12)</f>
        <v>426705</v>
      </c>
      <c r="D13" s="420">
        <f>SUM(D10:D12)</f>
        <v>692353.24400000006</v>
      </c>
      <c r="E13" s="420">
        <f>SUM(E10:E12)</f>
        <v>642418.30000000005</v>
      </c>
      <c r="F13" s="420">
        <f t="shared" si="0"/>
        <v>150.55326279279598</v>
      </c>
      <c r="G13" s="420">
        <f t="shared" si="1"/>
        <v>92.787649305792812</v>
      </c>
      <c r="H13" s="420">
        <f>SUM(H10:H12)</f>
        <v>36705</v>
      </c>
      <c r="I13" s="420">
        <f>SUM(I10:I12)</f>
        <v>26543.243999999999</v>
      </c>
      <c r="J13" s="420">
        <f>SUM(J10:J12)</f>
        <v>27418.300000000047</v>
      </c>
      <c r="K13" s="420">
        <f t="shared" si="2"/>
        <v>74.699087317804242</v>
      </c>
      <c r="L13" s="420">
        <f t="shared" si="3"/>
        <v>103.29671836645156</v>
      </c>
      <c r="M13" s="420">
        <f t="shared" ref="M13:AG13" si="4">SUM(M10:M12)</f>
        <v>2878</v>
      </c>
      <c r="N13" s="420">
        <f t="shared" si="4"/>
        <v>2858</v>
      </c>
      <c r="O13" s="420">
        <f t="shared" si="4"/>
        <v>0</v>
      </c>
      <c r="P13" s="420">
        <f t="shared" si="4"/>
        <v>5</v>
      </c>
      <c r="Q13" s="420">
        <f t="shared" si="4"/>
        <v>15</v>
      </c>
      <c r="R13" s="420">
        <f t="shared" si="4"/>
        <v>7350</v>
      </c>
      <c r="S13" s="420">
        <f t="shared" si="4"/>
        <v>7350</v>
      </c>
      <c r="T13" s="420">
        <f t="shared" si="4"/>
        <v>0</v>
      </c>
      <c r="U13" s="420">
        <f t="shared" si="4"/>
        <v>14018</v>
      </c>
      <c r="V13" s="420">
        <f t="shared" si="4"/>
        <v>1618</v>
      </c>
      <c r="W13" s="420">
        <f t="shared" si="4"/>
        <v>0</v>
      </c>
      <c r="X13" s="420">
        <f t="shared" si="4"/>
        <v>12400</v>
      </c>
      <c r="Y13" s="420">
        <f t="shared" si="4"/>
        <v>920.3</v>
      </c>
      <c r="Z13" s="420">
        <f t="shared" si="4"/>
        <v>479</v>
      </c>
      <c r="AA13" s="420">
        <f t="shared" si="4"/>
        <v>121.3</v>
      </c>
      <c r="AB13" s="420">
        <f t="shared" si="4"/>
        <v>320</v>
      </c>
      <c r="AC13" s="420">
        <f t="shared" si="4"/>
        <v>615000</v>
      </c>
      <c r="AD13" s="420">
        <f t="shared" si="4"/>
        <v>0</v>
      </c>
      <c r="AE13" s="420">
        <f t="shared" si="4"/>
        <v>1452</v>
      </c>
      <c r="AF13" s="420">
        <f t="shared" si="4"/>
        <v>0</v>
      </c>
      <c r="AG13" s="420">
        <f t="shared" si="4"/>
        <v>800</v>
      </c>
    </row>
    <row r="14" spans="1:34" s="434" customFormat="1" ht="24.75" customHeight="1" x14ac:dyDescent="0.3">
      <c r="A14" s="436">
        <v>4</v>
      </c>
      <c r="B14" s="435" t="s">
        <v>218</v>
      </c>
      <c r="C14" s="421">
        <f>VLOOKUP(A14,'[2]TỔNG HỢP DT - sếp duyệt'!$A$8:$E$26,3,0)</f>
        <v>188675</v>
      </c>
      <c r="D14" s="421">
        <f>VLOOKUP(A14,'[2]TỔNG HỢP DT - sếp duyệt'!$A$8:$E$26,5,0)</f>
        <v>295593.24</v>
      </c>
      <c r="E14" s="421">
        <f>M14+R14+U14+Y14+AC14+AD14+AE14+AF14+AG14</f>
        <v>515628</v>
      </c>
      <c r="F14" s="421">
        <f t="shared" si="0"/>
        <v>273.28898900225255</v>
      </c>
      <c r="G14" s="421">
        <f t="shared" si="1"/>
        <v>174.43835995708156</v>
      </c>
      <c r="H14" s="421">
        <f>VLOOKUP(A14,'[2]TỔNG HỢP DT - sếp duyệt'!$A$8:$CC$41,9,0)</f>
        <v>16675</v>
      </c>
      <c r="I14" s="421">
        <f>VLOOKUP(A14,'[2]TỔNG HỢP DT - sếp duyệt'!$A$8:$CC$41,10,0)</f>
        <v>10593.239999999991</v>
      </c>
      <c r="J14" s="421">
        <f>VLOOKUP(A14,'[2]TỔNG HỢP DT - sếp duyệt'!$A$8:$CC$41,11,0)</f>
        <v>15628</v>
      </c>
      <c r="K14" s="421">
        <f t="shared" si="2"/>
        <v>93.721139430284865</v>
      </c>
      <c r="L14" s="421">
        <f t="shared" si="3"/>
        <v>147.52804618794642</v>
      </c>
      <c r="M14" s="421">
        <f t="shared" ref="M14:M20" si="5">SUM(N14:Q14)</f>
        <v>2916</v>
      </c>
      <c r="N14" s="421">
        <f>VLOOKUP(A14,'[2]TỔNG HỢP DT - sếp duyệt'!$A$8:$CC$41,17,0)</f>
        <v>2913</v>
      </c>
      <c r="O14" s="421"/>
      <c r="P14" s="421">
        <f>VLOOKUP(A14,'[2]TỔNG HỢP DT - sếp duyệt'!$A$8:$CC$41,24,0)</f>
        <v>3</v>
      </c>
      <c r="Q14" s="421">
        <f>VLOOKUP(A14,'[2]TỔNG HỢP DT - sếp duyệt'!$A$8:$CC$41,30,0)</f>
        <v>0</v>
      </c>
      <c r="R14" s="421">
        <f t="shared" ref="R14:R20" si="6">S14+T14</f>
        <v>4000</v>
      </c>
      <c r="S14" s="421">
        <f>VLOOKUP(A14,'[2]TỔNG HỢP DT - sếp duyệt'!$A$8:$CC$41,62,0)</f>
        <v>4000</v>
      </c>
      <c r="T14" s="421"/>
      <c r="U14" s="421">
        <f t="shared" ref="U14:U20" si="7">V14+W14+X14</f>
        <v>6512</v>
      </c>
      <c r="V14" s="421">
        <f>VLOOKUP(A14,'[2]TỔNG HỢP DT - sếp duyệt'!$A$8:$CC$41,36,0)</f>
        <v>1512</v>
      </c>
      <c r="W14" s="421"/>
      <c r="X14" s="421">
        <f>VLOOKUP(A14,'[2]TỔNG HỢP DT - sếp duyệt'!$A$8:$CC$41,43,0)</f>
        <v>5000</v>
      </c>
      <c r="Y14" s="421">
        <f t="shared" ref="Y14:Y20" si="8">Z14+AB14+AA14</f>
        <v>850</v>
      </c>
      <c r="Z14" s="421">
        <f>VLOOKUP(A14,'[2]TH MB 2023'!$A$3:$F$20,5,0)</f>
        <v>400</v>
      </c>
      <c r="AA14" s="421">
        <f>VLOOKUP(A14,'[2]TH MB 2023'!$A$3:$F$20,6,0)</f>
        <v>100</v>
      </c>
      <c r="AB14" s="421">
        <f>VLOOKUP(A14,'[2]TỔNG HỢP DT - sếp duyệt'!$A$8:$CC$41,56,0)</f>
        <v>350</v>
      </c>
      <c r="AC14" s="421">
        <f>VLOOKUP(A14,'[2]TỔNG HỢP DT - sếp duyệt'!$A$8:$CC$41,69,0)</f>
        <v>500000</v>
      </c>
      <c r="AD14" s="421"/>
      <c r="AE14" s="421">
        <f>VLOOKUP(A14,'[2]TỔNG HỢP DT - sếp duyệt'!$A$8:$CC$41,75,0)</f>
        <v>750</v>
      </c>
      <c r="AF14" s="421"/>
      <c r="AG14" s="421">
        <f>VLOOKUP(A14,'[2]TỔNG HỢP DT - sếp duyệt'!$A$8:$CC$41,81,0)</f>
        <v>600</v>
      </c>
    </row>
    <row r="15" spans="1:34" s="434" customFormat="1" ht="24.75" customHeight="1" x14ac:dyDescent="0.3">
      <c r="A15" s="436">
        <v>5</v>
      </c>
      <c r="B15" s="435" t="s">
        <v>229</v>
      </c>
      <c r="C15" s="421">
        <f>VLOOKUP(A15,'[2]TỔNG HỢP DT - sếp duyệt'!$A$8:$CC$41,3,0)</f>
        <v>10555</v>
      </c>
      <c r="D15" s="421">
        <f>VLOOKUP(A15,'[2]TỔNG HỢP DT - sếp duyệt'!$A$8:$CC$41,5,0)</f>
        <v>1428</v>
      </c>
      <c r="E15" s="421">
        <f>VLOOKUP(A15,'[2]TỔNG HỢP DT - sếp duyệt'!$A$8:$CC$41,6,0)</f>
        <v>21328</v>
      </c>
      <c r="F15" s="421">
        <f t="shared" si="0"/>
        <v>202.06537186167694</v>
      </c>
      <c r="G15" s="421">
        <f t="shared" si="1"/>
        <v>1493.5574229691877</v>
      </c>
      <c r="H15" s="421">
        <f>VLOOKUP(A15,'[2]TỔNG HỢP DT - sếp duyệt'!$A$8:$CC$41,9,0)</f>
        <v>1555</v>
      </c>
      <c r="I15" s="421">
        <f>VLOOKUP(A15,'[2]TỔNG HỢP DT - sếp duyệt'!$A$8:$CC$41,10,0)</f>
        <v>1228</v>
      </c>
      <c r="J15" s="421">
        <f>VLOOKUP(A15,'[2]TỔNG HỢP DT - sếp duyệt'!$A$8:$CC$41,11,0)</f>
        <v>1328</v>
      </c>
      <c r="K15" s="421">
        <f t="shared" si="2"/>
        <v>85.40192926045016</v>
      </c>
      <c r="L15" s="421">
        <f t="shared" si="3"/>
        <v>108.14332247557003</v>
      </c>
      <c r="M15" s="421">
        <f t="shared" si="5"/>
        <v>123</v>
      </c>
      <c r="N15" s="421">
        <f>VLOOKUP(A15,'[2]TỔNG HỢP DT - sếp duyệt'!$A$8:$CC$41,17,0)</f>
        <v>123</v>
      </c>
      <c r="O15" s="421"/>
      <c r="P15" s="421">
        <f>VLOOKUP(A15,'[2]TỔNG HỢP DT - sếp duyệt'!$A$8:$CC$41,24,0)</f>
        <v>0</v>
      </c>
      <c r="Q15" s="421">
        <f>VLOOKUP(A15,'[2]TỔNG HỢP DT - sếp duyệt'!$A$8:$CC$41,30,0)</f>
        <v>0</v>
      </c>
      <c r="R15" s="421">
        <f t="shared" si="6"/>
        <v>200</v>
      </c>
      <c r="S15" s="421">
        <f>VLOOKUP(A15,'[2]TỔNG HỢP DT - sếp duyệt'!$A$8:$CC$41,62,0)</f>
        <v>200</v>
      </c>
      <c r="T15" s="421"/>
      <c r="U15" s="421">
        <f t="shared" si="7"/>
        <v>372</v>
      </c>
      <c r="V15" s="421">
        <f>VLOOKUP(A15,'[2]TỔNG HỢP DT - sếp duyệt'!$A$8:$CC$41,36,0)</f>
        <v>72</v>
      </c>
      <c r="W15" s="421"/>
      <c r="X15" s="421">
        <f>VLOOKUP(A15,'[2]TỔNG HỢP DT - sếp duyệt'!$A$8:$CC$41,43,0)</f>
        <v>300</v>
      </c>
      <c r="Y15" s="421">
        <f t="shared" si="8"/>
        <v>155</v>
      </c>
      <c r="Z15" s="421">
        <f>VLOOKUP(A15,'[2]TH MB 2023'!$A$3:$F$20,5,0)</f>
        <v>67</v>
      </c>
      <c r="AA15" s="421">
        <f>VLOOKUP(A15,'[2]TH MB 2023'!$A$3:$F$20,6,0)</f>
        <v>18</v>
      </c>
      <c r="AB15" s="421">
        <f>VLOOKUP(A15,'[2]TỔNG HỢP DT - sếp duyệt'!$A$8:$CC$41,56,0)</f>
        <v>70</v>
      </c>
      <c r="AC15" s="421">
        <f>VLOOKUP(A15,'[2]TỔNG HỢP DT - sếp duyệt'!$A$8:$CC$41,69,0)</f>
        <v>20000</v>
      </c>
      <c r="AD15" s="421"/>
      <c r="AE15" s="421">
        <f>VLOOKUP(A15,'[2]TỔNG HỢP DT - sếp duyệt'!$A$8:$CC$41,75,0)</f>
        <v>378</v>
      </c>
      <c r="AF15" s="421"/>
      <c r="AG15" s="421">
        <f>VLOOKUP(A15,'[2]TỔNG HỢP DT - sếp duyệt'!$A$8:$CC$41,81,0)</f>
        <v>100</v>
      </c>
    </row>
    <row r="16" spans="1:34" s="434" customFormat="1" ht="24.75" customHeight="1" x14ac:dyDescent="0.3">
      <c r="A16" s="436">
        <v>6</v>
      </c>
      <c r="B16" s="435" t="s">
        <v>233</v>
      </c>
      <c r="C16" s="421">
        <f>VLOOKUP(A16,'[2]TỔNG HỢP DT - sếp duyệt'!$A$8:$CC$41,3,0)</f>
        <v>174655</v>
      </c>
      <c r="D16" s="421">
        <f>VLOOKUP(A16,'[2]TỔNG HỢP DT - sếp duyệt'!$A$8:$CC$41,5,0)</f>
        <v>34945.760999999999</v>
      </c>
      <c r="E16" s="421">
        <f>VLOOKUP(A16,'[2]TỔNG HỢP DT - sếp duyệt'!$A$8:$CC$41,6,0)</f>
        <v>196327</v>
      </c>
      <c r="F16" s="421">
        <f t="shared" si="0"/>
        <v>112.40846239729754</v>
      </c>
      <c r="G16" s="421">
        <f t="shared" si="1"/>
        <v>561.80490675249575</v>
      </c>
      <c r="H16" s="421">
        <f>VLOOKUP(A16,'[2]TỔNG HỢP DT - sếp duyệt'!$A$8:$CC$41,9,0)</f>
        <v>14655</v>
      </c>
      <c r="I16" s="421">
        <f>VLOOKUP(A16,'[2]TỔNG HỢP DT - sếp duyệt'!$A$8:$CC$41,10,0)</f>
        <v>12443.07</v>
      </c>
      <c r="J16" s="421">
        <f>VLOOKUP(A16,'[2]TỔNG HỢP DT - sếp duyệt'!$A$8:$CC$41,11,0)</f>
        <v>16327</v>
      </c>
      <c r="K16" s="421">
        <f t="shared" si="2"/>
        <v>111.40907540088708</v>
      </c>
      <c r="L16" s="421">
        <f t="shared" si="3"/>
        <v>131.21359921627058</v>
      </c>
      <c r="M16" s="421">
        <f t="shared" si="5"/>
        <v>667</v>
      </c>
      <c r="N16" s="421">
        <f>VLOOKUP(A16,'[2]TỔNG HỢP DT - sếp duyệt'!$A$8:$CC$41,17,0)</f>
        <v>665</v>
      </c>
      <c r="O16" s="421"/>
      <c r="P16" s="421">
        <f>VLOOKUP(A16,'[2]TỔNG HỢP DT - sếp duyệt'!$A$8:$CC$41,24,0)</f>
        <v>2</v>
      </c>
      <c r="Q16" s="421">
        <f>VLOOKUP(A16,'[2]TỔNG HỢP DT - sếp duyệt'!$A$8:$CC$41,30,0)</f>
        <v>0</v>
      </c>
      <c r="R16" s="421">
        <f t="shared" si="6"/>
        <v>6000</v>
      </c>
      <c r="S16" s="421">
        <f>VLOOKUP(A16,'[2]TỔNG HỢP DT - sếp duyệt'!$A$8:$CC$41,62,0)</f>
        <v>6000</v>
      </c>
      <c r="T16" s="421"/>
      <c r="U16" s="421">
        <f t="shared" si="7"/>
        <v>8384</v>
      </c>
      <c r="V16" s="421">
        <f>VLOOKUP(A16,'[2]TỔNG HỢP DT - sếp duyệt'!$A$8:$CC$41,36,0)</f>
        <v>384</v>
      </c>
      <c r="W16" s="421"/>
      <c r="X16" s="421">
        <f>VLOOKUP(A16,'[2]TỔNG HỢP DT - sếp duyệt'!$A$8:$CC$41,43,0)</f>
        <v>8000</v>
      </c>
      <c r="Y16" s="421">
        <f t="shared" si="8"/>
        <v>500</v>
      </c>
      <c r="Z16" s="421">
        <f>VLOOKUP(A16,'[2]TH MB 2023'!$A$3:$F$20,5,0)</f>
        <v>275</v>
      </c>
      <c r="AA16" s="421">
        <f>VLOOKUP(A16,'[2]TH MB 2023'!$A$3:$F$20,6,0)</f>
        <v>25</v>
      </c>
      <c r="AB16" s="421">
        <f>VLOOKUP(A16,'[2]TỔNG HỢP DT - sếp duyệt'!$A$8:$CC$41,56,0)</f>
        <v>200</v>
      </c>
      <c r="AC16" s="421">
        <f>VLOOKUP(A16,'[2]TỔNG HỢP DT - sếp duyệt'!$A$8:$CC$41,69,0)</f>
        <v>180000</v>
      </c>
      <c r="AD16" s="421"/>
      <c r="AE16" s="421">
        <f>VLOOKUP(A16,'[2]TỔNG HỢP DT - sếp duyệt'!$A$8:$CC$41,75,0)</f>
        <v>226</v>
      </c>
      <c r="AF16" s="421"/>
      <c r="AG16" s="421">
        <f>VLOOKUP(A16,'[2]TỔNG HỢP DT - sếp duyệt'!$A$8:$CC$41,81,0)</f>
        <v>550</v>
      </c>
    </row>
    <row r="17" spans="1:33" s="434" customFormat="1" ht="24.75" customHeight="1" x14ac:dyDescent="0.3">
      <c r="A17" s="436">
        <v>7</v>
      </c>
      <c r="B17" s="435" t="s">
        <v>230</v>
      </c>
      <c r="C17" s="421">
        <f>VLOOKUP(A17,'[2]TỔNG HỢP DT - sếp duyệt'!$A$8:$CC$41,3,0)</f>
        <v>37170</v>
      </c>
      <c r="D17" s="421">
        <f>VLOOKUP(A17,'[2]TỔNG HỢP DT - sếp duyệt'!$A$8:$CC$41,5,0)</f>
        <v>110284.0304</v>
      </c>
      <c r="E17" s="421">
        <f>VLOOKUP(A17,'[2]TỔNG HỢP DT - sếp duyệt'!$A$8:$CC$41,6,0)</f>
        <v>1997.3</v>
      </c>
      <c r="F17" s="421">
        <f t="shared" si="0"/>
        <v>5.3734194242668814</v>
      </c>
      <c r="G17" s="421">
        <f t="shared" si="1"/>
        <v>1.8110509679015139</v>
      </c>
      <c r="H17" s="421">
        <f>VLOOKUP(A17,'[2]TỔNG HỢP DT - sếp duyệt'!$A$8:$CC$41,9,0)</f>
        <v>2170</v>
      </c>
      <c r="I17" s="421">
        <f>VLOOKUP(A17,'[2]TỔNG HỢP DT - sếp duyệt'!$A$8:$CC$41,10,0)</f>
        <v>2422.5679999999993</v>
      </c>
      <c r="J17" s="421">
        <f>VLOOKUP(A17,'[2]TỔNG HỢP DT - sếp duyệt'!$A$8:$CC$41,11,0)</f>
        <v>1997.3</v>
      </c>
      <c r="K17" s="421">
        <f t="shared" si="2"/>
        <v>92.041474654377879</v>
      </c>
      <c r="L17" s="421">
        <f t="shared" si="3"/>
        <v>82.445570155306285</v>
      </c>
      <c r="M17" s="421">
        <f t="shared" si="5"/>
        <v>103</v>
      </c>
      <c r="N17" s="421">
        <f>VLOOKUP(A17,'[2]TỔNG HỢP DT - sếp duyệt'!$A$8:$CC$41,17,0)</f>
        <v>97</v>
      </c>
      <c r="O17" s="421"/>
      <c r="P17" s="421">
        <f>VLOOKUP(A17,'[2]TỔNG HỢP DT - sếp duyệt'!$A$8:$CC$41,24,0)</f>
        <v>2</v>
      </c>
      <c r="Q17" s="421">
        <f>VLOOKUP(A17,'[2]TỔNG HỢP DT - sếp duyệt'!$A$8:$CC$41,30,0)</f>
        <v>4</v>
      </c>
      <c r="R17" s="421">
        <f t="shared" si="6"/>
        <v>300</v>
      </c>
      <c r="S17" s="421">
        <f>VLOOKUP(A17,'[2]TỔNG HỢP DT - sếp duyệt'!$A$8:$CC$41,62,0)</f>
        <v>300</v>
      </c>
      <c r="T17" s="421"/>
      <c r="U17" s="421">
        <f t="shared" si="7"/>
        <v>1048</v>
      </c>
      <c r="V17" s="421">
        <f>VLOOKUP(A17,'[2]TỔNG HỢP DT - sếp duyệt'!$A$8:$CC$41,36,0)</f>
        <v>48</v>
      </c>
      <c r="W17" s="421"/>
      <c r="X17" s="421">
        <f>VLOOKUP(A17,'[2]TỔNG HỢP DT - sếp duyệt'!$A$8:$CC$41,43,0)</f>
        <v>1000</v>
      </c>
      <c r="Y17" s="421">
        <f t="shared" si="8"/>
        <v>120.3</v>
      </c>
      <c r="Z17" s="421">
        <f>VLOOKUP(A17,'[2]TH MB 2023'!$A$3:$F$20,5,0)</f>
        <v>63</v>
      </c>
      <c r="AA17" s="421">
        <f>VLOOKUP(A17,'[2]TH MB 2023'!$A$3:$F$20,6,0)</f>
        <v>7.3</v>
      </c>
      <c r="AB17" s="421">
        <f>VLOOKUP(A17,'[2]TỔNG HỢP DT - sếp duyệt'!$A$8:$CC$41,56,0)</f>
        <v>50</v>
      </c>
      <c r="AC17" s="421">
        <f>VLOOKUP(A17,'[2]TỔNG HỢP DT - sếp duyệt'!$A$8:$CC$41,69,0)</f>
        <v>0</v>
      </c>
      <c r="AD17" s="421"/>
      <c r="AE17" s="421">
        <f>VLOOKUP(A17,'[2]TỔNG HỢP DT - sếp duyệt'!$A$8:$CC$41,75,0)</f>
        <v>176</v>
      </c>
      <c r="AF17" s="421"/>
      <c r="AG17" s="421">
        <f>VLOOKUP(A17,'[2]TỔNG HỢP DT - sếp duyệt'!$A$8:$CC$41,81,0)</f>
        <v>250</v>
      </c>
    </row>
    <row r="18" spans="1:33" s="434" customFormat="1" ht="24.75" customHeight="1" x14ac:dyDescent="0.3">
      <c r="A18" s="436">
        <v>8</v>
      </c>
      <c r="B18" s="435" t="s">
        <v>226</v>
      </c>
      <c r="C18" s="421">
        <f>VLOOKUP(A18,'[2]TỔNG HỢP DT - sếp duyệt'!$A$8:$CC$41,3,0)</f>
        <v>7060</v>
      </c>
      <c r="D18" s="421">
        <f>VLOOKUP(A18,'[2]TỔNG HỢP DT - sếp duyệt'!$A$8:$CC$41,5,0)</f>
        <v>77481</v>
      </c>
      <c r="E18" s="421">
        <f>VLOOKUP(A18,'[2]TỔNG HỢP DT - sếp duyệt'!$A$8:$CC$41,6,0)</f>
        <v>4646</v>
      </c>
      <c r="F18" s="421">
        <f t="shared" si="0"/>
        <v>65.807365439093473</v>
      </c>
      <c r="G18" s="421">
        <f t="shared" si="1"/>
        <v>5.9963087724732516</v>
      </c>
      <c r="H18" s="421">
        <f>VLOOKUP(A18,'[2]TỔNG HỢP DT - sếp duyệt'!$A$8:$CC$41,9,0)</f>
        <v>7060</v>
      </c>
      <c r="I18" s="421">
        <f>VLOOKUP(A18,'[2]TỔNG HỢP DT - sếp duyệt'!$A$8:$CC$41,10,0)</f>
        <v>4414</v>
      </c>
      <c r="J18" s="421">
        <f>VLOOKUP(A18,'[2]TỔNG HỢP DT - sếp duyệt'!$A$8:$CC$41,11,0)</f>
        <v>4646</v>
      </c>
      <c r="K18" s="421">
        <f t="shared" si="2"/>
        <v>65.807365439093473</v>
      </c>
      <c r="L18" s="421">
        <f t="shared" si="3"/>
        <v>105.2560036248301</v>
      </c>
      <c r="M18" s="421">
        <f t="shared" si="5"/>
        <v>1037</v>
      </c>
      <c r="N18" s="421">
        <f>VLOOKUP(A18,'[2]TỔNG HỢP DT - sếp duyệt'!$A$8:$CC$41,17,0)</f>
        <v>1037</v>
      </c>
      <c r="O18" s="421"/>
      <c r="P18" s="421">
        <f>VLOOKUP(A18,'[2]TỔNG HỢP DT - sếp duyệt'!$A$8:$CC$41,24,0)</f>
        <v>0</v>
      </c>
      <c r="Q18" s="421">
        <f>VLOOKUP(A18,'[2]TỔNG HỢP DT - sếp duyệt'!$A$8:$CC$41,30,0)</f>
        <v>0</v>
      </c>
      <c r="R18" s="421">
        <f t="shared" si="6"/>
        <v>500</v>
      </c>
      <c r="S18" s="421">
        <f>VLOOKUP(A18,'[2]TỔNG HỢP DT - sếp duyệt'!$A$8:$CC$41,62,0)</f>
        <v>500</v>
      </c>
      <c r="T18" s="421"/>
      <c r="U18" s="421">
        <f t="shared" si="7"/>
        <v>2327</v>
      </c>
      <c r="V18" s="421">
        <f>VLOOKUP(A18,'[2]TỔNG HỢP DT - sếp duyệt'!$A$8:$CC$41,36,0)</f>
        <v>527</v>
      </c>
      <c r="W18" s="421"/>
      <c r="X18" s="421">
        <f>VLOOKUP(A18,'[2]TỔNG HỢP DT - sếp duyệt'!$A$8:$CC$41,43,0)</f>
        <v>1800</v>
      </c>
      <c r="Y18" s="421">
        <f t="shared" si="8"/>
        <v>310</v>
      </c>
      <c r="Z18" s="421">
        <f>VLOOKUP(A18,'[2]TH MB 2023'!$A$3:$F$20,5,0)</f>
        <v>200</v>
      </c>
      <c r="AA18" s="421">
        <f>VLOOKUP(A18,'[2]TH MB 2023'!$A$3:$F$20,6,0)</f>
        <v>30</v>
      </c>
      <c r="AB18" s="421">
        <f>VLOOKUP(A18,'[2]TỔNG HỢP DT - sếp duyệt'!$A$8:$CC$41,56,0)</f>
        <v>80</v>
      </c>
      <c r="AC18" s="421">
        <f>VLOOKUP(A18,'[2]TỔNG HỢP DT - sếp duyệt'!$A$8:$CC$41,69,0)</f>
        <v>0</v>
      </c>
      <c r="AD18" s="421"/>
      <c r="AE18" s="421">
        <f>VLOOKUP(A18,'[2]TỔNG HỢP DT - sếp duyệt'!$A$8:$CC$41,75,0)</f>
        <v>272</v>
      </c>
      <c r="AF18" s="421"/>
      <c r="AG18" s="421">
        <f>VLOOKUP(A18,'[2]TỔNG HỢP DT - sếp duyệt'!$A$8:$CC$41,81,0)</f>
        <v>200</v>
      </c>
    </row>
    <row r="19" spans="1:33" s="434" customFormat="1" ht="24.75" customHeight="1" x14ac:dyDescent="0.3">
      <c r="A19" s="436">
        <v>9</v>
      </c>
      <c r="B19" s="435" t="s">
        <v>228</v>
      </c>
      <c r="C19" s="421">
        <f>VLOOKUP(A19,'[2]TỔNG HỢP DT - sếp duyệt'!$A$8:$CC$41,3,0)</f>
        <v>31042</v>
      </c>
      <c r="D19" s="421">
        <f>VLOOKUP(A19,'[2]TỔNG HỢP DT - sếp duyệt'!$A$8:$CC$41,5,0)</f>
        <v>51205.022499999999</v>
      </c>
      <c r="E19" s="421">
        <f>VLOOKUP(A19,'[2]TỔNG HỢP DT - sếp duyệt'!$A$8:$CC$41,6,0)</f>
        <v>7465</v>
      </c>
      <c r="F19" s="421">
        <f t="shared" si="0"/>
        <v>24.048063913407642</v>
      </c>
      <c r="G19" s="421">
        <f t="shared" si="1"/>
        <v>14.578648022271642</v>
      </c>
      <c r="H19" s="421">
        <f>VLOOKUP(A19,'[2]TỔNG HỢP DT - sếp duyệt'!$A$8:$CC$41,9,0)</f>
        <v>6042</v>
      </c>
      <c r="I19" s="421">
        <f>VLOOKUP(A19,'[2]TỔNG HỢP DT - sếp duyệt'!$A$8:$CC$41,10,0)</f>
        <v>5355.0999999999985</v>
      </c>
      <c r="J19" s="421">
        <f>VLOOKUP(A19,'[2]TỔNG HỢP DT - sếp duyệt'!$A$8:$CC$41,11,0)</f>
        <v>7465</v>
      </c>
      <c r="K19" s="421">
        <f t="shared" si="2"/>
        <v>123.55180403839788</v>
      </c>
      <c r="L19" s="421">
        <f t="shared" si="3"/>
        <v>139.39982446639655</v>
      </c>
      <c r="M19" s="421">
        <f t="shared" si="5"/>
        <v>1847</v>
      </c>
      <c r="N19" s="421">
        <f>VLOOKUP(A19,'[2]TỔNG HỢP DT - sếp duyệt'!$A$8:$CC$41,17,0)</f>
        <v>1847</v>
      </c>
      <c r="O19" s="421"/>
      <c r="P19" s="421">
        <f>VLOOKUP(A19,'[2]TỔNG HỢP DT - sếp duyệt'!$A$8:$CC$41,24,0)</f>
        <v>0</v>
      </c>
      <c r="Q19" s="421">
        <f>VLOOKUP(A19,'[2]TỔNG HỢP DT - sếp duyệt'!$A$8:$CC$41,30,0)</f>
        <v>0</v>
      </c>
      <c r="R19" s="421">
        <f t="shared" si="6"/>
        <v>2500</v>
      </c>
      <c r="S19" s="421">
        <f>VLOOKUP(A19,'[2]TỔNG HỢP DT - sếp duyệt'!$A$8:$CC$41,62,0)</f>
        <v>2500</v>
      </c>
      <c r="T19" s="421"/>
      <c r="U19" s="421">
        <f t="shared" si="7"/>
        <v>2207</v>
      </c>
      <c r="V19" s="421">
        <f>VLOOKUP(A19,'[2]TỔNG HỢP DT - sếp duyệt'!$A$8:$CC$41,36,0)</f>
        <v>907</v>
      </c>
      <c r="W19" s="421"/>
      <c r="X19" s="421">
        <f>VLOOKUP(A19,'[2]TỔNG HỢP DT - sếp duyệt'!$A$8:$CC$41,43,0)</f>
        <v>1300</v>
      </c>
      <c r="Y19" s="421">
        <f t="shared" si="8"/>
        <v>334</v>
      </c>
      <c r="Z19" s="421">
        <f>VLOOKUP(A19,'[2]TH MB 2023'!$A$3:$F$20,5,0)</f>
        <v>162</v>
      </c>
      <c r="AA19" s="421">
        <f>VLOOKUP(A19,'[2]TH MB 2023'!$A$3:$F$20,6,0)</f>
        <v>52</v>
      </c>
      <c r="AB19" s="421">
        <f>VLOOKUP(A19,'[2]TỔNG HỢP DT - sếp duyệt'!$A$8:$CC$41,56,0)</f>
        <v>120</v>
      </c>
      <c r="AC19" s="421">
        <f>VLOOKUP(A19,'[2]TỔNG HỢP DT - sếp duyệt'!$A$8:$CC$41,69,0)</f>
        <v>0</v>
      </c>
      <c r="AD19" s="421"/>
      <c r="AE19" s="421">
        <f>VLOOKUP(A19,'[2]TỔNG HỢP DT - sếp duyệt'!$A$8:$CC$41,75,0)</f>
        <v>177</v>
      </c>
      <c r="AF19" s="421"/>
      <c r="AG19" s="421">
        <f>VLOOKUP(A19,'[2]TỔNG HỢP DT - sếp duyệt'!$A$8:$CC$41,81,0)</f>
        <v>400</v>
      </c>
    </row>
    <row r="20" spans="1:33" s="434" customFormat="1" ht="24.75" customHeight="1" x14ac:dyDescent="0.3">
      <c r="A20" s="436">
        <v>10</v>
      </c>
      <c r="B20" s="439" t="s">
        <v>231</v>
      </c>
      <c r="C20" s="421">
        <f>VLOOKUP(A20,'[2]TỔNG HỢP DT - sếp duyệt'!$A$8:$CC$41,3,0)</f>
        <v>129900</v>
      </c>
      <c r="D20" s="421">
        <f>VLOOKUP(A20,'[2]TỔNG HỢP DT - sếp duyệt'!$A$8:$CC$41,5,0)</f>
        <v>5647.1487120000002</v>
      </c>
      <c r="E20" s="421">
        <f>VLOOKUP(A20,'[2]TỔNG HỢP DT - sếp duyệt'!$A$8:$CC$41,6,0)</f>
        <v>89733</v>
      </c>
      <c r="F20" s="421">
        <f t="shared" si="0"/>
        <v>69.078521939953802</v>
      </c>
      <c r="G20" s="421">
        <f t="shared" si="1"/>
        <v>1588.9965817496607</v>
      </c>
      <c r="H20" s="421">
        <f>VLOOKUP(A20,'[2]TỔNG HỢP DT - sếp duyệt'!$A$8:$CC$41,9,0)</f>
        <v>4900</v>
      </c>
      <c r="I20" s="421">
        <f>VLOOKUP(A20,'[2]TỔNG HỢP DT - sếp duyệt'!$A$8:$CC$41,10,0)</f>
        <v>1483.1487120000002</v>
      </c>
      <c r="J20" s="421">
        <f>VLOOKUP(A20,'[2]TỔNG HỢP DT - sếp duyệt'!$A$8:$CC$41,11,0)</f>
        <v>4733</v>
      </c>
      <c r="K20" s="421">
        <f t="shared" si="2"/>
        <v>96.591836734693885</v>
      </c>
      <c r="L20" s="421">
        <f t="shared" si="3"/>
        <v>319.11837037687422</v>
      </c>
      <c r="M20" s="421">
        <f t="shared" si="5"/>
        <v>1713</v>
      </c>
      <c r="N20" s="421">
        <f>VLOOKUP(A20,'[2]TỔNG HỢP DT - sếp duyệt'!$A$8:$CC$41,17,0)</f>
        <v>1695</v>
      </c>
      <c r="O20" s="421"/>
      <c r="P20" s="421">
        <f>VLOOKUP(A20,'[2]TỔNG HỢP DT - sếp duyệt'!$A$8:$CC$41,24,0)</f>
        <v>10</v>
      </c>
      <c r="Q20" s="421">
        <f>VLOOKUP(A20,'[2]TỔNG HỢP DT - sếp duyệt'!$A$8:$CC$41,30,0)</f>
        <v>8</v>
      </c>
      <c r="R20" s="421">
        <f t="shared" si="6"/>
        <v>1200</v>
      </c>
      <c r="S20" s="421">
        <f>VLOOKUP(A20,'[2]TỔNG HỢP DT - sếp duyệt'!$A$8:$CC$41,62,0)</f>
        <v>1200</v>
      </c>
      <c r="T20" s="421"/>
      <c r="U20" s="421">
        <f t="shared" si="7"/>
        <v>1297</v>
      </c>
      <c r="V20" s="421">
        <f>VLOOKUP(A20,'[2]TỔNG HỢP DT - sếp duyệt'!$A$8:$CC$41,36,0)</f>
        <v>697</v>
      </c>
      <c r="W20" s="421"/>
      <c r="X20" s="421">
        <f>VLOOKUP(A20,'[2]TỔNG HỢP DT - sếp duyệt'!$A$8:$CC$41,43,0)</f>
        <v>600</v>
      </c>
      <c r="Y20" s="421">
        <f t="shared" si="8"/>
        <v>260</v>
      </c>
      <c r="Z20" s="421">
        <f>VLOOKUP(A20,'[2]TH MB 2023'!$A$3:$F$20,5,0)</f>
        <v>72</v>
      </c>
      <c r="AA20" s="421">
        <f>VLOOKUP(A20,'[2]TH MB 2023'!$A$3:$F$20,6,0)</f>
        <v>68</v>
      </c>
      <c r="AB20" s="421">
        <f>VLOOKUP(A20,'[2]TỔNG HỢP DT - sếp duyệt'!$A$8:$CC$41,56,0)</f>
        <v>120</v>
      </c>
      <c r="AC20" s="421">
        <f>VLOOKUP(A20,'[2]TỔNG HỢP DT - sếp duyệt'!$A$8:$CC$41,69,0)</f>
        <v>85000</v>
      </c>
      <c r="AD20" s="421"/>
      <c r="AE20" s="421">
        <f>VLOOKUP(A20,'[2]TỔNG HỢP DT - sếp duyệt'!$A$8:$CC$41,75,0)</f>
        <v>163</v>
      </c>
      <c r="AF20" s="421"/>
      <c r="AG20" s="421">
        <f>VLOOKUP(A20,'[2]TỔNG HỢP DT - sếp duyệt'!$A$8:$CC$41,81,0)</f>
        <v>100</v>
      </c>
    </row>
    <row r="21" spans="1:33" s="437" customFormat="1" ht="24.75" customHeight="1" x14ac:dyDescent="0.3">
      <c r="A21" s="432"/>
      <c r="B21" s="438" t="s">
        <v>450</v>
      </c>
      <c r="C21" s="420">
        <f>SUM(C14:C20)</f>
        <v>579057</v>
      </c>
      <c r="D21" s="420">
        <f>SUM(D14:D20)</f>
        <v>576584.20261199994</v>
      </c>
      <c r="E21" s="420">
        <f>SUM(E14:E20)</f>
        <v>837124.3</v>
      </c>
      <c r="F21" s="420">
        <f t="shared" si="0"/>
        <v>144.56682157369656</v>
      </c>
      <c r="G21" s="420">
        <f t="shared" si="1"/>
        <v>145.18682548146833</v>
      </c>
      <c r="H21" s="420">
        <f>SUM(H14:H20)</f>
        <v>53057</v>
      </c>
      <c r="I21" s="420">
        <f>SUM(I14:I20)</f>
        <v>37939.12671199999</v>
      </c>
      <c r="J21" s="420">
        <f>SUM(J14:J20)</f>
        <v>52124.3</v>
      </c>
      <c r="K21" s="420">
        <f t="shared" si="2"/>
        <v>98.242079273234452</v>
      </c>
      <c r="L21" s="420">
        <f t="shared" si="3"/>
        <v>137.38929837705857</v>
      </c>
      <c r="M21" s="420">
        <f t="shared" ref="M21:AG21" si="9">SUM(M14:M20)</f>
        <v>8406</v>
      </c>
      <c r="N21" s="420">
        <f t="shared" si="9"/>
        <v>8377</v>
      </c>
      <c r="O21" s="420">
        <f t="shared" si="9"/>
        <v>0</v>
      </c>
      <c r="P21" s="420">
        <f t="shared" si="9"/>
        <v>17</v>
      </c>
      <c r="Q21" s="420">
        <f t="shared" si="9"/>
        <v>12</v>
      </c>
      <c r="R21" s="420">
        <f t="shared" si="9"/>
        <v>14700</v>
      </c>
      <c r="S21" s="420">
        <f t="shared" si="9"/>
        <v>14700</v>
      </c>
      <c r="T21" s="420">
        <f t="shared" si="9"/>
        <v>0</v>
      </c>
      <c r="U21" s="420">
        <f t="shared" si="9"/>
        <v>22147</v>
      </c>
      <c r="V21" s="420">
        <f t="shared" si="9"/>
        <v>4147</v>
      </c>
      <c r="W21" s="420">
        <f t="shared" si="9"/>
        <v>0</v>
      </c>
      <c r="X21" s="420">
        <f t="shared" si="9"/>
        <v>18000</v>
      </c>
      <c r="Y21" s="420">
        <f t="shared" si="9"/>
        <v>2529.3000000000002</v>
      </c>
      <c r="Z21" s="420">
        <f t="shared" si="9"/>
        <v>1239</v>
      </c>
      <c r="AA21" s="420">
        <f t="shared" si="9"/>
        <v>300.3</v>
      </c>
      <c r="AB21" s="420">
        <f t="shared" si="9"/>
        <v>990</v>
      </c>
      <c r="AC21" s="420">
        <f t="shared" si="9"/>
        <v>785000</v>
      </c>
      <c r="AD21" s="420">
        <f t="shared" si="9"/>
        <v>0</v>
      </c>
      <c r="AE21" s="420">
        <f t="shared" si="9"/>
        <v>2142</v>
      </c>
      <c r="AF21" s="420">
        <f t="shared" si="9"/>
        <v>0</v>
      </c>
      <c r="AG21" s="420">
        <f t="shared" si="9"/>
        <v>2200</v>
      </c>
    </row>
    <row r="22" spans="1:33" s="434" customFormat="1" ht="24.75" customHeight="1" x14ac:dyDescent="0.3">
      <c r="A22" s="436">
        <v>11</v>
      </c>
      <c r="B22" s="435" t="s">
        <v>224</v>
      </c>
      <c r="C22" s="421">
        <f>VLOOKUP(A22,'[2]TỔNG HỢP DT - sếp duyệt'!$A$8:$CC$41,3,0)</f>
        <v>2505</v>
      </c>
      <c r="D22" s="421">
        <f>VLOOKUP(A22,'[2]TỔNG HỢP DT - sếp duyệt'!$A$8:$CC$41,5,0)</f>
        <v>2874.5672000000004</v>
      </c>
      <c r="E22" s="421">
        <f>VLOOKUP(A22,'[2]TỔNG HỢP DT - sếp duyệt'!$A$8:$CC$41,6,0)</f>
        <v>2540.3000000000002</v>
      </c>
      <c r="F22" s="421">
        <f t="shared" si="0"/>
        <v>101.40918163672656</v>
      </c>
      <c r="G22" s="421">
        <f t="shared" si="1"/>
        <v>88.371564248002272</v>
      </c>
      <c r="H22" s="421">
        <f>VLOOKUP(A22,'[2]TỔNG HỢP DT - sếp duyệt'!$A$8:$CC$41,9,0)</f>
        <v>2505</v>
      </c>
      <c r="I22" s="421">
        <f>VLOOKUP(A22,'[2]TỔNG HỢP DT - sếp duyệt'!$A$8:$CC$41,10,0)</f>
        <v>2762</v>
      </c>
      <c r="J22" s="421">
        <f>VLOOKUP(A22,'[2]TỔNG HỢP DT - sếp duyệt'!$A$8:$CC$41,11,0)</f>
        <v>2540.3000000000002</v>
      </c>
      <c r="K22" s="421">
        <f t="shared" si="2"/>
        <v>101.40918163672656</v>
      </c>
      <c r="L22" s="421">
        <f t="shared" si="3"/>
        <v>91.973207820419987</v>
      </c>
      <c r="M22" s="421">
        <f t="shared" ref="M22:M28" si="10">SUM(N22:Q22)</f>
        <v>852</v>
      </c>
      <c r="N22" s="421">
        <f>VLOOKUP(A22,'[2]TỔNG HỢP DT - sếp duyệt'!$A$8:$CC$41,17,0)</f>
        <v>852</v>
      </c>
      <c r="O22" s="421"/>
      <c r="P22" s="421">
        <f>VLOOKUP(A22,'[2]TỔNG HỢP DT - sếp duyệt'!$A$8:$CC$41,24,0)</f>
        <v>0</v>
      </c>
      <c r="Q22" s="421">
        <f>VLOOKUP(A22,'[2]TỔNG HỢP DT - sếp duyệt'!$A$8:$CC$41,30,0)</f>
        <v>0</v>
      </c>
      <c r="R22" s="421">
        <f t="shared" ref="R22:R28" si="11">S22+T22</f>
        <v>80</v>
      </c>
      <c r="S22" s="421">
        <f>VLOOKUP(A22,'[2]TỔNG HỢP DT - sếp duyệt'!$A$8:$CC$41,62,0)</f>
        <v>80</v>
      </c>
      <c r="T22" s="421"/>
      <c r="U22" s="421">
        <f t="shared" ref="U22:U28" si="12">V22+W22+X22</f>
        <v>1001</v>
      </c>
      <c r="V22" s="421">
        <f>VLOOKUP(A22,'[2]TỔNG HỢP DT - sếp duyệt'!$A$8:$CC$41,36,0)</f>
        <v>551</v>
      </c>
      <c r="W22" s="421"/>
      <c r="X22" s="421">
        <f>VLOOKUP(A22,'[2]TỔNG HỢP DT - sếp duyệt'!$A$8:$CC$41,43,0)</f>
        <v>450</v>
      </c>
      <c r="Y22" s="421">
        <f t="shared" ref="Y22:Y28" si="13">Z22+AB22+AA22</f>
        <v>155.30000000000001</v>
      </c>
      <c r="Z22" s="421">
        <f>VLOOKUP(A22,'[2]TH MB 2023'!$A$3:$F$20,5,0)</f>
        <v>89</v>
      </c>
      <c r="AA22" s="421">
        <f>VLOOKUP(A22,'[2]TH MB 2023'!$A$3:$F$20,6,0)</f>
        <v>16.3</v>
      </c>
      <c r="AB22" s="421">
        <f>VLOOKUP(A22,'[2]TỔNG HỢP DT - sếp duyệt'!$A$8:$CC$41,56,0)</f>
        <v>50</v>
      </c>
      <c r="AC22" s="421">
        <f>VLOOKUP(A22,'[2]TỔNG HỢP DT - sếp duyệt'!$A$8:$CC$41,69,0)</f>
        <v>0</v>
      </c>
      <c r="AD22" s="421"/>
      <c r="AE22" s="421">
        <f>VLOOKUP(A22,'[2]TỔNG HỢP DT - sếp duyệt'!$A$8:$CC$41,75,0)</f>
        <v>202</v>
      </c>
      <c r="AF22" s="421"/>
      <c r="AG22" s="421">
        <f>VLOOKUP(A22,'[2]TỔNG HỢP DT - sếp duyệt'!$A$8:$CC$41,81,0)</f>
        <v>250</v>
      </c>
    </row>
    <row r="23" spans="1:33" s="434" customFormat="1" ht="24.75" customHeight="1" x14ac:dyDescent="0.3">
      <c r="A23" s="436">
        <v>12</v>
      </c>
      <c r="B23" s="435" t="s">
        <v>223</v>
      </c>
      <c r="C23" s="421">
        <f>VLOOKUP(A23,'[2]TỔNG HỢP DT - sếp duyệt'!$A$8:$CC$41,3,0)</f>
        <v>1650</v>
      </c>
      <c r="D23" s="421">
        <f>VLOOKUP(A23,'[2]TỔNG HỢP DT - sếp duyệt'!$A$8:$CC$41,5,0)</f>
        <v>2341.0190000000002</v>
      </c>
      <c r="E23" s="421">
        <f>VLOOKUP(A23,'[2]TỔNG HỢP DT - sếp duyệt'!$A$8:$CC$41,6,0)</f>
        <v>1521</v>
      </c>
      <c r="F23" s="421">
        <f t="shared" si="0"/>
        <v>92.181818181818187</v>
      </c>
      <c r="G23" s="421">
        <f t="shared" si="1"/>
        <v>64.971706765301775</v>
      </c>
      <c r="H23" s="421">
        <f>VLOOKUP(A23,'[2]TỔNG HỢP DT - sếp duyệt'!$A$8:$CC$41,9,0)</f>
        <v>1650</v>
      </c>
      <c r="I23" s="421">
        <f>VLOOKUP(A23,'[2]TỔNG HỢP DT - sếp duyệt'!$A$8:$CC$41,10,0)</f>
        <v>1605.0000000000002</v>
      </c>
      <c r="J23" s="421">
        <f>VLOOKUP(A23,'[2]TỔNG HỢP DT - sếp duyệt'!$A$8:$CC$41,11,0)</f>
        <v>1521</v>
      </c>
      <c r="K23" s="421">
        <f t="shared" si="2"/>
        <v>92.181818181818187</v>
      </c>
      <c r="L23" s="421">
        <f t="shared" si="3"/>
        <v>94.766355140186903</v>
      </c>
      <c r="M23" s="421">
        <f t="shared" si="10"/>
        <v>230</v>
      </c>
      <c r="N23" s="421">
        <f>VLOOKUP(A23,'[2]TỔNG HỢP DT - sếp duyệt'!$A$8:$CC$41,17,0)</f>
        <v>230</v>
      </c>
      <c r="O23" s="421"/>
      <c r="P23" s="421">
        <f>VLOOKUP(A23,'[2]TỔNG HỢP DT - sếp duyệt'!$A$8:$CC$41,24,0)</f>
        <v>0</v>
      </c>
      <c r="Q23" s="421">
        <f>VLOOKUP(A23,'[2]TỔNG HỢP DT - sếp duyệt'!$A$8:$CC$41,30,0)</f>
        <v>0</v>
      </c>
      <c r="R23" s="421">
        <f t="shared" si="11"/>
        <v>120</v>
      </c>
      <c r="S23" s="421">
        <f>VLOOKUP(A23,'[2]TỔNG HỢP DT - sếp duyệt'!$A$8:$CC$41,62,0)</f>
        <v>120</v>
      </c>
      <c r="T23" s="421"/>
      <c r="U23" s="421">
        <f t="shared" si="12"/>
        <v>721</v>
      </c>
      <c r="V23" s="421">
        <f>VLOOKUP(A23,'[2]TỔNG HỢP DT - sếp duyệt'!$A$8:$CC$41,36,0)</f>
        <v>121</v>
      </c>
      <c r="W23" s="421"/>
      <c r="X23" s="421">
        <f>VLOOKUP(A23,'[2]TỔNG HỢP DT - sếp duyệt'!$A$8:$CC$41,43,0)</f>
        <v>600</v>
      </c>
      <c r="Y23" s="421">
        <f t="shared" si="13"/>
        <v>100</v>
      </c>
      <c r="Z23" s="421">
        <f>VLOOKUP(A23,'[2]TH MB 2023'!$A$3:$F$20,5,0)</f>
        <v>42</v>
      </c>
      <c r="AA23" s="421">
        <f>VLOOKUP(A23,'[2]TH MB 2023'!$A$3:$F$20,6,0)</f>
        <v>8</v>
      </c>
      <c r="AB23" s="421">
        <f>VLOOKUP(A23,'[2]TỔNG HỢP DT - sếp duyệt'!$A$8:$CC$41,56,0)</f>
        <v>50</v>
      </c>
      <c r="AC23" s="421">
        <f>VLOOKUP(A23,'[2]TỔNG HỢP DT - sếp duyệt'!$A$8:$CC$41,69,0)</f>
        <v>0</v>
      </c>
      <c r="AD23" s="421"/>
      <c r="AE23" s="421">
        <f>VLOOKUP(A23,'[2]TỔNG HỢP DT - sếp duyệt'!$A$8:$CC$41,75,0)</f>
        <v>200</v>
      </c>
      <c r="AF23" s="421"/>
      <c r="AG23" s="421">
        <f>VLOOKUP(A23,'[2]TỔNG HỢP DT - sếp duyệt'!$A$8:$CC$41,81,0)</f>
        <v>150</v>
      </c>
    </row>
    <row r="24" spans="1:33" s="434" customFormat="1" ht="24.75" customHeight="1" x14ac:dyDescent="0.3">
      <c r="A24" s="436">
        <v>13</v>
      </c>
      <c r="B24" s="435" t="s">
        <v>220</v>
      </c>
      <c r="C24" s="421">
        <f>VLOOKUP(A24,'[2]TỔNG HỢP DT - sếp duyệt'!$A$8:$CC$41,3,0)</f>
        <v>2438</v>
      </c>
      <c r="D24" s="421">
        <f>VLOOKUP(A24,'[2]TỔNG HỢP DT - sếp duyệt'!$A$8:$CC$41,5,0)</f>
        <v>5840.3220000000001</v>
      </c>
      <c r="E24" s="421">
        <f>VLOOKUP(A24,'[2]TỔNG HỢP DT - sếp duyệt'!$A$8:$CC$41,6,0)</f>
        <v>3608</v>
      </c>
      <c r="F24" s="421">
        <f t="shared" si="0"/>
        <v>147.99015586546349</v>
      </c>
      <c r="G24" s="421">
        <f t="shared" si="1"/>
        <v>61.777415697285186</v>
      </c>
      <c r="H24" s="421">
        <f>VLOOKUP(A24,'[2]TỔNG HỢP DT - sếp duyệt'!$A$8:$CC$41,9,0)</f>
        <v>2438</v>
      </c>
      <c r="I24" s="421">
        <f>VLOOKUP(A24,'[2]TỔNG HỢP DT - sếp duyệt'!$A$8:$CC$41,10,0)</f>
        <v>4786</v>
      </c>
      <c r="J24" s="421">
        <f>VLOOKUP(A24,'[2]TỔNG HỢP DT - sếp duyệt'!$A$8:$CC$41,11,0)</f>
        <v>3608</v>
      </c>
      <c r="K24" s="421">
        <f t="shared" si="2"/>
        <v>147.99015586546349</v>
      </c>
      <c r="L24" s="421">
        <f t="shared" si="3"/>
        <v>75.386544086920182</v>
      </c>
      <c r="M24" s="421">
        <f t="shared" si="10"/>
        <v>669</v>
      </c>
      <c r="N24" s="421">
        <f>VLOOKUP(A24,'[2]TỔNG HỢP DT - sếp duyệt'!$A$8:$CC$41,17,0)</f>
        <v>669</v>
      </c>
      <c r="O24" s="421"/>
      <c r="P24" s="421">
        <f>VLOOKUP(A24,'[2]TỔNG HỢP DT - sếp duyệt'!$A$8:$CC$41,24,0)</f>
        <v>0</v>
      </c>
      <c r="Q24" s="421">
        <f>VLOOKUP(A24,'[2]TỔNG HỢP DT - sếp duyệt'!$A$8:$CC$41,30,0)</f>
        <v>0</v>
      </c>
      <c r="R24" s="421">
        <f t="shared" si="11"/>
        <v>400</v>
      </c>
      <c r="S24" s="421">
        <f>VLOOKUP(A24,'[2]TỔNG HỢP DT - sếp duyệt'!$A$8:$CC$41,62,0)</f>
        <v>400</v>
      </c>
      <c r="T24" s="421"/>
      <c r="U24" s="421">
        <f t="shared" si="12"/>
        <v>1997</v>
      </c>
      <c r="V24" s="421">
        <f>VLOOKUP(A24,'[2]TỔNG HỢP DT - sếp duyệt'!$A$8:$CC$41,36,0)</f>
        <v>397</v>
      </c>
      <c r="W24" s="421"/>
      <c r="X24" s="421">
        <f>VLOOKUP(A24,'[2]TỔNG HỢP DT - sếp duyệt'!$A$8:$CC$41,43,0)</f>
        <v>1600</v>
      </c>
      <c r="Y24" s="421">
        <f t="shared" si="13"/>
        <v>220</v>
      </c>
      <c r="Z24" s="421">
        <f>VLOOKUP(A24,'[2]TH MB 2023'!$A$3:$F$20,5,0)</f>
        <v>118</v>
      </c>
      <c r="AA24" s="421">
        <f>VLOOKUP(A24,'[2]TH MB 2023'!$A$3:$F$20,6,0)</f>
        <v>22</v>
      </c>
      <c r="AB24" s="421">
        <f>VLOOKUP(A24,'[2]TỔNG HỢP DT - sếp duyệt'!$A$8:$CC$41,56,0)</f>
        <v>80</v>
      </c>
      <c r="AC24" s="421">
        <f>VLOOKUP(A24,'[2]TỔNG HỢP DT - sếp duyệt'!$A$8:$CC$41,69,0)</f>
        <v>0</v>
      </c>
      <c r="AD24" s="421"/>
      <c r="AE24" s="421">
        <f>VLOOKUP(A24,'[2]TỔNG HỢP DT - sếp duyệt'!$A$8:$CC$41,75,0)</f>
        <v>222</v>
      </c>
      <c r="AF24" s="421"/>
      <c r="AG24" s="421">
        <f>VLOOKUP(A24,'[2]TỔNG HỢP DT - sếp duyệt'!$A$8:$CC$41,81,0)</f>
        <v>100</v>
      </c>
    </row>
    <row r="25" spans="1:33" s="434" customFormat="1" ht="24.75" customHeight="1" x14ac:dyDescent="0.3">
      <c r="A25" s="436">
        <v>14</v>
      </c>
      <c r="B25" s="435" t="s">
        <v>219</v>
      </c>
      <c r="C25" s="421">
        <f>VLOOKUP(A25,'[2]TỔNG HỢP DT - sếp duyệt'!$A$8:$CC$41,3,0)</f>
        <v>5530</v>
      </c>
      <c r="D25" s="421">
        <f>VLOOKUP(A25,'[2]TỔNG HỢP DT - sếp duyệt'!$A$8:$CC$41,5,0)</f>
        <v>12019.1214</v>
      </c>
      <c r="E25" s="421">
        <f>VLOOKUP(A25,'[2]TỔNG HỢP DT - sếp duyệt'!$A$8:$CC$41,6,0)</f>
        <v>1221</v>
      </c>
      <c r="F25" s="421">
        <f t="shared" si="0"/>
        <v>22.079566003616634</v>
      </c>
      <c r="G25" s="421">
        <f t="shared" si="1"/>
        <v>10.158812440316977</v>
      </c>
      <c r="H25" s="421">
        <f>VLOOKUP(A25,'[2]TỔNG HỢP DT - sếp duyệt'!$A$8:$CC$41,9,0)</f>
        <v>1530</v>
      </c>
      <c r="I25" s="421">
        <f>VLOOKUP(A25,'[2]TỔNG HỢP DT - sếp duyệt'!$A$8:$CC$41,10,0)</f>
        <v>2273</v>
      </c>
      <c r="J25" s="421">
        <f>VLOOKUP(A25,'[2]TỔNG HỢP DT - sếp duyệt'!$A$8:$CC$41,11,0)</f>
        <v>1221</v>
      </c>
      <c r="K25" s="421">
        <f t="shared" si="2"/>
        <v>79.803921568627459</v>
      </c>
      <c r="L25" s="421">
        <f t="shared" si="3"/>
        <v>53.717553893532774</v>
      </c>
      <c r="M25" s="421">
        <f t="shared" si="10"/>
        <v>168</v>
      </c>
      <c r="N25" s="421">
        <f>VLOOKUP(A25,'[2]TỔNG HỢP DT - sếp duyệt'!$A$8:$CC$41,17,0)</f>
        <v>168</v>
      </c>
      <c r="O25" s="421"/>
      <c r="P25" s="421">
        <f>VLOOKUP(A25,'[2]TỔNG HỢP DT - sếp duyệt'!$A$8:$CC$41,24,0)</f>
        <v>0</v>
      </c>
      <c r="Q25" s="421">
        <f>VLOOKUP(A25,'[2]TỔNG HỢP DT - sếp duyệt'!$A$8:$CC$41,30,0)</f>
        <v>0</v>
      </c>
      <c r="R25" s="421">
        <f t="shared" si="11"/>
        <v>120</v>
      </c>
      <c r="S25" s="421">
        <f>VLOOKUP(A25,'[2]TỔNG HỢP DT - sếp duyệt'!$A$8:$CC$41,62,0)</f>
        <v>120</v>
      </c>
      <c r="T25" s="421"/>
      <c r="U25" s="421">
        <f t="shared" si="12"/>
        <v>424</v>
      </c>
      <c r="V25" s="421">
        <f>VLOOKUP(A25,'[2]TỔNG HỢP DT - sếp duyệt'!$A$8:$CC$41,36,0)</f>
        <v>124</v>
      </c>
      <c r="W25" s="421"/>
      <c r="X25" s="421">
        <f>VLOOKUP(A25,'[2]TỔNG HỢP DT - sếp duyệt'!$A$8:$CC$41,43,0)</f>
        <v>300</v>
      </c>
      <c r="Y25" s="421">
        <f t="shared" si="13"/>
        <v>80</v>
      </c>
      <c r="Z25" s="421">
        <f>VLOOKUP(A25,'[2]TH MB 2023'!$A$3:$F$20,5,0)</f>
        <v>27</v>
      </c>
      <c r="AA25" s="421">
        <f>VLOOKUP(A25,'[2]TH MB 2023'!$A$3:$F$20,6,0)</f>
        <v>3</v>
      </c>
      <c r="AB25" s="421">
        <f>VLOOKUP(A25,'[2]TỔNG HỢP DT - sếp duyệt'!$A$8:$CC$41,56,0)</f>
        <v>50</v>
      </c>
      <c r="AC25" s="421">
        <f>VLOOKUP(A25,'[2]TỔNG HỢP DT - sếp duyệt'!$A$8:$CC$41,69,0)</f>
        <v>0</v>
      </c>
      <c r="AD25" s="421"/>
      <c r="AE25" s="421">
        <f>VLOOKUP(A25,'[2]TỔNG HỢP DT - sếp duyệt'!$A$8:$CC$41,75,0)</f>
        <v>129</v>
      </c>
      <c r="AF25" s="421"/>
      <c r="AG25" s="421">
        <f>VLOOKUP(A25,'[2]TỔNG HỢP DT - sếp duyệt'!$A$8:$CC$41,81,0)</f>
        <v>300</v>
      </c>
    </row>
    <row r="26" spans="1:33" s="434" customFormat="1" ht="24.75" customHeight="1" x14ac:dyDescent="0.3">
      <c r="A26" s="436">
        <v>15</v>
      </c>
      <c r="B26" s="435" t="s">
        <v>225</v>
      </c>
      <c r="C26" s="421">
        <f>VLOOKUP(A26,'[2]TỔNG HỢP DT - sếp duyệt'!$A$8:$CC$41,3,0)</f>
        <v>82005</v>
      </c>
      <c r="D26" s="421">
        <f>VLOOKUP(A26,'[2]TỔNG HỢP DT - sếp duyệt'!$A$8:$CC$41,5,0)</f>
        <v>5802.9467999999997</v>
      </c>
      <c r="E26" s="421">
        <f>VLOOKUP(A26,'[2]TỔNG HỢP DT - sếp duyệt'!$A$8:$CC$41,6,0)</f>
        <v>203759</v>
      </c>
      <c r="F26" s="421">
        <f t="shared" si="0"/>
        <v>248.47143466861777</v>
      </c>
      <c r="G26" s="421">
        <f t="shared" si="1"/>
        <v>3511.3022232083877</v>
      </c>
      <c r="H26" s="421">
        <f>VLOOKUP(A26,'[2]TỔNG HỢP DT - sếp duyệt'!$A$8:$CC$41,9,0)</f>
        <v>2005</v>
      </c>
      <c r="I26" s="421">
        <f>VLOOKUP(A26,'[2]TỔNG HỢP DT - sếp duyệt'!$A$8:$CC$41,10,0)</f>
        <v>3007.3032999999996</v>
      </c>
      <c r="J26" s="421">
        <f>VLOOKUP(A26,'[2]TỔNG HỢP DT - sếp duyệt'!$A$8:$CC$41,11,0)</f>
        <v>3759</v>
      </c>
      <c r="K26" s="421">
        <f t="shared" si="2"/>
        <v>187.48129675810475</v>
      </c>
      <c r="L26" s="421">
        <f t="shared" si="3"/>
        <v>124.99570628609359</v>
      </c>
      <c r="M26" s="421">
        <f t="shared" si="10"/>
        <v>75</v>
      </c>
      <c r="N26" s="421">
        <f>VLOOKUP(A26,'[2]TỔNG HỢP DT - sếp duyệt'!$A$8:$CC$41,17,0)</f>
        <v>67</v>
      </c>
      <c r="O26" s="421"/>
      <c r="P26" s="421">
        <f>VLOOKUP(A26,'[2]TỔNG HỢP DT - sếp duyệt'!$A$8:$CC$41,24,0)</f>
        <v>0</v>
      </c>
      <c r="Q26" s="421">
        <f>VLOOKUP(A26,'[2]TỔNG HỢP DT - sếp duyệt'!$A$8:$CC$41,30,0)</f>
        <v>8</v>
      </c>
      <c r="R26" s="421">
        <f t="shared" si="11"/>
        <v>1800</v>
      </c>
      <c r="S26" s="421">
        <f>VLOOKUP(A26,'[2]TỔNG HỢP DT - sếp duyệt'!$A$8:$CC$41,62,0)</f>
        <v>1800</v>
      </c>
      <c r="T26" s="421"/>
      <c r="U26" s="421">
        <f t="shared" si="12"/>
        <v>1435</v>
      </c>
      <c r="V26" s="421">
        <f>VLOOKUP(A26,'[2]TỔNG HỢP DT - sếp duyệt'!$A$8:$CC$41,36,0)</f>
        <v>35</v>
      </c>
      <c r="W26" s="421"/>
      <c r="X26" s="421">
        <f>VLOOKUP(A26,'[2]TỔNG HỢP DT - sếp duyệt'!$A$8:$CC$41,43,0)</f>
        <v>1400</v>
      </c>
      <c r="Y26" s="421">
        <f t="shared" si="13"/>
        <v>90</v>
      </c>
      <c r="Z26" s="421">
        <f>VLOOKUP(A26,'[2]TH MB 2023'!$A$3:$F$20,5,0)</f>
        <v>28</v>
      </c>
      <c r="AA26" s="421">
        <f>VLOOKUP(A26,'[2]TH MB 2023'!$A$3:$F$20,6,0)</f>
        <v>2</v>
      </c>
      <c r="AB26" s="421">
        <f>VLOOKUP(A26,'[2]TỔNG HỢP DT - sếp duyệt'!$A$8:$CC$41,56,0)</f>
        <v>60</v>
      </c>
      <c r="AC26" s="421">
        <f>VLOOKUP(A26,'[2]TỔNG HỢP DT - sếp duyệt'!$A$8:$CC$41,69,0)</f>
        <v>200000</v>
      </c>
      <c r="AD26" s="421"/>
      <c r="AE26" s="421">
        <f>VLOOKUP(A26,'[2]TỔNG HỢP DT - sếp duyệt'!$A$8:$CC$41,75,0)</f>
        <v>159</v>
      </c>
      <c r="AF26" s="421"/>
      <c r="AG26" s="421">
        <f>VLOOKUP(A26,'[2]TỔNG HỢP DT - sếp duyệt'!$A$8:$CC$41,81,0)</f>
        <v>200</v>
      </c>
    </row>
    <row r="27" spans="1:33" s="434" customFormat="1" ht="24.75" customHeight="1" x14ac:dyDescent="0.3">
      <c r="A27" s="436">
        <v>16</v>
      </c>
      <c r="B27" s="435" t="s">
        <v>227</v>
      </c>
      <c r="C27" s="421">
        <f>VLOOKUP(A27,'[2]TỔNG HỢP DT - sếp duyệt'!$A$8:$CC$41,3,0)</f>
        <v>920</v>
      </c>
      <c r="D27" s="421">
        <f>VLOOKUP(A27,'[2]TỔNG HỢP DT - sếp duyệt'!$A$8:$CC$41,5,0)</f>
        <v>1485.66371</v>
      </c>
      <c r="E27" s="421">
        <f>VLOOKUP(A27,'[2]TỔNG HỢP DT - sếp duyệt'!$A$8:$CC$41,6,0)</f>
        <v>1194</v>
      </c>
      <c r="F27" s="421">
        <f t="shared" si="0"/>
        <v>129.78260869565216</v>
      </c>
      <c r="G27" s="421">
        <f t="shared" si="1"/>
        <v>80.368120454392738</v>
      </c>
      <c r="H27" s="421">
        <f>VLOOKUP(A27,'[2]TỔNG HỢP DT - sếp duyệt'!$A$8:$CC$41,9,0)</f>
        <v>920</v>
      </c>
      <c r="I27" s="421">
        <f>VLOOKUP(A27,'[2]TỔNG HỢP DT - sếp duyệt'!$A$8:$CC$41,10,0)</f>
        <v>1334.46371</v>
      </c>
      <c r="J27" s="421">
        <f>VLOOKUP(A27,'[2]TỔNG HỢP DT - sếp duyệt'!$A$8:$CC$41,11,0)</f>
        <v>1194</v>
      </c>
      <c r="K27" s="421">
        <f t="shared" si="2"/>
        <v>129.78260869565216</v>
      </c>
      <c r="L27" s="421">
        <f t="shared" si="3"/>
        <v>89.474145385339853</v>
      </c>
      <c r="M27" s="421">
        <f t="shared" si="10"/>
        <v>99</v>
      </c>
      <c r="N27" s="421">
        <f>VLOOKUP(A27,'[2]TỔNG HỢP DT - sếp duyệt'!$A$8:$CC$41,17,0)</f>
        <v>84</v>
      </c>
      <c r="O27" s="421"/>
      <c r="P27" s="421">
        <f>VLOOKUP(A27,'[2]TỔNG HỢP DT - sếp duyệt'!$A$8:$CC$41,24,0)</f>
        <v>0</v>
      </c>
      <c r="Q27" s="421">
        <f>VLOOKUP(A27,'[2]TỔNG HỢP DT - sếp duyệt'!$A$8:$CC$41,30,0)</f>
        <v>15</v>
      </c>
      <c r="R27" s="421">
        <f t="shared" si="11"/>
        <v>70</v>
      </c>
      <c r="S27" s="421">
        <f>VLOOKUP(A27,'[2]TỔNG HỢP DT - sếp duyệt'!$A$8:$CC$41,62,0)</f>
        <v>70</v>
      </c>
      <c r="T27" s="421"/>
      <c r="U27" s="421">
        <f t="shared" si="12"/>
        <v>338</v>
      </c>
      <c r="V27" s="421">
        <f>VLOOKUP(A27,'[2]TỔNG HỢP DT - sếp duyệt'!$A$8:$CC$41,36,0)</f>
        <v>38</v>
      </c>
      <c r="W27" s="421"/>
      <c r="X27" s="421">
        <f>VLOOKUP(A27,'[2]TỔNG HỢP DT - sếp duyệt'!$A$8:$CC$41,43,0)</f>
        <v>300</v>
      </c>
      <c r="Y27" s="421">
        <f t="shared" si="13"/>
        <v>100</v>
      </c>
      <c r="Z27" s="421">
        <f>VLOOKUP(A27,'[2]TH MB 2023'!$A$3:$F$20,5,0)</f>
        <v>35</v>
      </c>
      <c r="AA27" s="421">
        <f>VLOOKUP(A27,'[2]TH MB 2023'!$A$3:$F$20,6,0)</f>
        <v>5</v>
      </c>
      <c r="AB27" s="421">
        <f>VLOOKUP(A27,'[2]TỔNG HỢP DT - sếp duyệt'!$A$8:$CC$41,56,0)</f>
        <v>60</v>
      </c>
      <c r="AC27" s="421">
        <f>VLOOKUP(A27,'[2]TỔNG HỢP DT - sếp duyệt'!$A$8:$CC$41,69,0)</f>
        <v>0</v>
      </c>
      <c r="AD27" s="421"/>
      <c r="AE27" s="421">
        <f>VLOOKUP(A27,'[2]TỔNG HỢP DT - sếp duyệt'!$A$8:$CC$41,75,0)</f>
        <v>187</v>
      </c>
      <c r="AF27" s="421"/>
      <c r="AG27" s="421">
        <f>VLOOKUP(A27,'[2]TỔNG HỢP DT - sếp duyệt'!$A$8:$CC$41,81,0)</f>
        <v>400</v>
      </c>
    </row>
    <row r="28" spans="1:33" s="434" customFormat="1" ht="24.75" customHeight="1" x14ac:dyDescent="0.3">
      <c r="A28" s="436">
        <v>17</v>
      </c>
      <c r="B28" s="435" t="s">
        <v>232</v>
      </c>
      <c r="C28" s="421">
        <f>VLOOKUP(A28,'[2]TỔNG HỢP DT - sếp duyệt'!$A$8:$CC$41,3,0)</f>
        <v>400</v>
      </c>
      <c r="D28" s="421">
        <f>VLOOKUP(A28,'[2]TỔNG HỢP DT - sếp duyệt'!$A$8:$CC$41,5,0)</f>
        <v>254.38626600000001</v>
      </c>
      <c r="E28" s="421">
        <f>VLOOKUP(A28,'[2]TỔNG HỢP DT - sếp duyệt'!$A$8:$CC$41,6,0)</f>
        <v>702</v>
      </c>
      <c r="F28" s="421">
        <f t="shared" si="0"/>
        <v>175.5</v>
      </c>
      <c r="G28" s="421">
        <f t="shared" si="1"/>
        <v>275.95829406922462</v>
      </c>
      <c r="H28" s="421">
        <f>VLOOKUP(A28,'[2]TỔNG HỢP DT - sếp duyệt'!$A$8:$CC$41,9,0)</f>
        <v>400</v>
      </c>
      <c r="I28" s="421">
        <f>VLOOKUP(A28,'[2]TỔNG HỢP DT - sếp duyệt'!$A$8:$CC$41,10,0)</f>
        <v>254.38626600000001</v>
      </c>
      <c r="J28" s="421">
        <f>VLOOKUP(A28,'[2]TỔNG HỢP DT - sếp duyệt'!$A$8:$CC$41,11,0)</f>
        <v>702</v>
      </c>
      <c r="K28" s="421">
        <f t="shared" si="2"/>
        <v>175.5</v>
      </c>
      <c r="L28" s="421">
        <f t="shared" si="3"/>
        <v>275.95829406922462</v>
      </c>
      <c r="M28" s="421">
        <f t="shared" si="10"/>
        <v>162</v>
      </c>
      <c r="N28" s="421">
        <f>VLOOKUP(A28,'[2]TỔNG HỢP DT - sếp duyệt'!$A$8:$CC$41,17,0)</f>
        <v>134</v>
      </c>
      <c r="O28" s="421"/>
      <c r="P28" s="421">
        <f>VLOOKUP(A28,'[2]TỔNG HỢP DT - sếp duyệt'!$A$8:$CC$41,24,0)</f>
        <v>28</v>
      </c>
      <c r="Q28" s="421">
        <f>VLOOKUP(A28,'[2]TỔNG HỢP DT - sếp duyệt'!$A$8:$CC$41,30,0)</f>
        <v>0</v>
      </c>
      <c r="R28" s="421">
        <f t="shared" si="11"/>
        <v>20</v>
      </c>
      <c r="S28" s="421">
        <f>VLOOKUP(A28,'[2]TỔNG HỢP DT - sếp duyệt'!$A$8:$CC$41,62,0)</f>
        <v>20</v>
      </c>
      <c r="T28" s="421"/>
      <c r="U28" s="421">
        <f t="shared" si="12"/>
        <v>117</v>
      </c>
      <c r="V28" s="421">
        <f>VLOOKUP(A28,'[2]TỔNG HỢP DT - sếp duyệt'!$A$8:$CC$41,36,0)</f>
        <v>67</v>
      </c>
      <c r="W28" s="421"/>
      <c r="X28" s="421">
        <f>VLOOKUP(A28,'[2]TỔNG HỢP DT - sếp duyệt'!$A$8:$CC$41,43,0)</f>
        <v>50</v>
      </c>
      <c r="Y28" s="421">
        <f t="shared" si="13"/>
        <v>65</v>
      </c>
      <c r="Z28" s="421">
        <f>VLOOKUP(A28,'[2]TH MB 2023'!$A$3:$F$20,5,0)</f>
        <v>22</v>
      </c>
      <c r="AA28" s="421">
        <f>VLOOKUP(A28,'[2]TH MB 2023'!$A$3:$F$20,6,0)</f>
        <v>3</v>
      </c>
      <c r="AB28" s="421">
        <f>VLOOKUP(A28,'[2]TỔNG HỢP DT - sếp duyệt'!$A$8:$CC$41,56,0)</f>
        <v>40</v>
      </c>
      <c r="AC28" s="421">
        <f>VLOOKUP(A28,'[2]TỔNG HỢP DT - sếp duyệt'!$A$8:$CC$41,69,0)</f>
        <v>0</v>
      </c>
      <c r="AD28" s="421"/>
      <c r="AE28" s="421">
        <f>VLOOKUP(A28,'[2]TỔNG HỢP DT - sếp duyệt'!$A$8:$CC$41,75,0)</f>
        <v>38</v>
      </c>
      <c r="AF28" s="421"/>
      <c r="AG28" s="421">
        <f>VLOOKUP(A28,'[2]TỔNG HỢP DT - sếp duyệt'!$A$8:$CC$41,81,0)</f>
        <v>300</v>
      </c>
    </row>
    <row r="29" spans="1:33" s="434" customFormat="1" ht="24.75" customHeight="1" x14ac:dyDescent="0.3">
      <c r="A29" s="432"/>
      <c r="B29" s="431" t="s">
        <v>449</v>
      </c>
      <c r="C29" s="420">
        <f t="shared" ref="C29:AG29" si="14">SUM(C22:C28)</f>
        <v>95448</v>
      </c>
      <c r="D29" s="420">
        <f t="shared" si="14"/>
        <v>30618.026376000002</v>
      </c>
      <c r="E29" s="420">
        <f t="shared" si="14"/>
        <v>214545.3</v>
      </c>
      <c r="F29" s="420">
        <f t="shared" si="14"/>
        <v>917.41476505189473</v>
      </c>
      <c r="G29" s="420">
        <f t="shared" si="14"/>
        <v>4092.9081368829111</v>
      </c>
      <c r="H29" s="420">
        <f t="shared" si="14"/>
        <v>11448</v>
      </c>
      <c r="I29" s="420">
        <f t="shared" si="14"/>
        <v>16022.153275999999</v>
      </c>
      <c r="J29" s="420">
        <f t="shared" si="14"/>
        <v>14545.3</v>
      </c>
      <c r="K29" s="420">
        <f t="shared" si="14"/>
        <v>914.14898270639253</v>
      </c>
      <c r="L29" s="420">
        <f t="shared" si="14"/>
        <v>806.27180668171786</v>
      </c>
      <c r="M29" s="420">
        <f t="shared" si="14"/>
        <v>2255</v>
      </c>
      <c r="N29" s="420">
        <f t="shared" si="14"/>
        <v>2204</v>
      </c>
      <c r="O29" s="420">
        <f t="shared" si="14"/>
        <v>0</v>
      </c>
      <c r="P29" s="420">
        <f t="shared" si="14"/>
        <v>28</v>
      </c>
      <c r="Q29" s="420">
        <f t="shared" si="14"/>
        <v>23</v>
      </c>
      <c r="R29" s="420">
        <f t="shared" si="14"/>
        <v>2610</v>
      </c>
      <c r="S29" s="420">
        <f t="shared" si="14"/>
        <v>2610</v>
      </c>
      <c r="T29" s="420">
        <f t="shared" si="14"/>
        <v>0</v>
      </c>
      <c r="U29" s="420">
        <f t="shared" si="14"/>
        <v>6033</v>
      </c>
      <c r="V29" s="420">
        <f t="shared" si="14"/>
        <v>1333</v>
      </c>
      <c r="W29" s="420">
        <f t="shared" si="14"/>
        <v>0</v>
      </c>
      <c r="X29" s="420">
        <f t="shared" si="14"/>
        <v>4700</v>
      </c>
      <c r="Y29" s="420">
        <f t="shared" si="14"/>
        <v>810.3</v>
      </c>
      <c r="Z29" s="420">
        <f t="shared" si="14"/>
        <v>361</v>
      </c>
      <c r="AA29" s="420">
        <f t="shared" si="14"/>
        <v>59.3</v>
      </c>
      <c r="AB29" s="420">
        <f t="shared" si="14"/>
        <v>390</v>
      </c>
      <c r="AC29" s="420">
        <f t="shared" si="14"/>
        <v>200000</v>
      </c>
      <c r="AD29" s="420">
        <f t="shared" si="14"/>
        <v>0</v>
      </c>
      <c r="AE29" s="420">
        <f t="shared" si="14"/>
        <v>1137</v>
      </c>
      <c r="AF29" s="420">
        <f t="shared" si="14"/>
        <v>0</v>
      </c>
      <c r="AG29" s="420">
        <f t="shared" si="14"/>
        <v>1700</v>
      </c>
    </row>
    <row r="30" spans="1:33" s="419" customFormat="1" ht="30" customHeight="1" x14ac:dyDescent="0.3">
      <c r="A30" s="433" t="s">
        <v>448</v>
      </c>
      <c r="B30" s="433" t="s">
        <v>447</v>
      </c>
      <c r="C30" s="420">
        <f>C13+C21+C29</f>
        <v>1101210</v>
      </c>
      <c r="D30" s="420">
        <f>D13+D21+D29</f>
        <v>1299555.4729879999</v>
      </c>
      <c r="E30" s="420">
        <f>E13+E21+E29</f>
        <v>1694087.9000000001</v>
      </c>
      <c r="F30" s="420">
        <f>E30/C30*100</f>
        <v>153.83876826400052</v>
      </c>
      <c r="G30" s="420">
        <f>E30/D30*100</f>
        <v>130.35902931522213</v>
      </c>
      <c r="H30" s="420">
        <f>H13+H21+H29</f>
        <v>101210</v>
      </c>
      <c r="I30" s="420">
        <f>I13+I21+I29</f>
        <v>80504.523987999986</v>
      </c>
      <c r="J30" s="420">
        <f>J13+J21+J29</f>
        <v>94087.900000000052</v>
      </c>
      <c r="K30" s="420">
        <f>J30/H30*100</f>
        <v>92.963047129730313</v>
      </c>
      <c r="L30" s="420">
        <f>J30/I30*100</f>
        <v>116.87281079262677</v>
      </c>
      <c r="M30" s="420">
        <f t="shared" ref="M30:AG30" si="15">M13+M21+M29</f>
        <v>13539</v>
      </c>
      <c r="N30" s="420">
        <f t="shared" si="15"/>
        <v>13439</v>
      </c>
      <c r="O30" s="420">
        <f t="shared" si="15"/>
        <v>0</v>
      </c>
      <c r="P30" s="420">
        <f t="shared" si="15"/>
        <v>50</v>
      </c>
      <c r="Q30" s="420">
        <f t="shared" si="15"/>
        <v>50</v>
      </c>
      <c r="R30" s="420">
        <f t="shared" si="15"/>
        <v>24660</v>
      </c>
      <c r="S30" s="420">
        <f t="shared" si="15"/>
        <v>24660</v>
      </c>
      <c r="T30" s="420">
        <f t="shared" si="15"/>
        <v>0</v>
      </c>
      <c r="U30" s="420">
        <f t="shared" si="15"/>
        <v>42198</v>
      </c>
      <c r="V30" s="420">
        <f t="shared" si="15"/>
        <v>7098</v>
      </c>
      <c r="W30" s="420">
        <f t="shared" si="15"/>
        <v>0</v>
      </c>
      <c r="X30" s="420">
        <f t="shared" si="15"/>
        <v>35100</v>
      </c>
      <c r="Y30" s="420">
        <f t="shared" si="15"/>
        <v>4259.9000000000005</v>
      </c>
      <c r="Z30" s="420">
        <f t="shared" si="15"/>
        <v>2079</v>
      </c>
      <c r="AA30" s="420">
        <f t="shared" si="15"/>
        <v>480.90000000000003</v>
      </c>
      <c r="AB30" s="420">
        <f t="shared" si="15"/>
        <v>1700</v>
      </c>
      <c r="AC30" s="420">
        <f t="shared" si="15"/>
        <v>1600000</v>
      </c>
      <c r="AD30" s="420">
        <f t="shared" si="15"/>
        <v>0</v>
      </c>
      <c r="AE30" s="420">
        <f t="shared" si="15"/>
        <v>4731</v>
      </c>
      <c r="AF30" s="420">
        <f t="shared" si="15"/>
        <v>0</v>
      </c>
      <c r="AG30" s="420">
        <f t="shared" si="15"/>
        <v>4700</v>
      </c>
    </row>
    <row r="31" spans="1:33" s="419" customFormat="1" ht="27.75" customHeight="1" x14ac:dyDescent="0.3">
      <c r="A31" s="432" t="s">
        <v>39</v>
      </c>
      <c r="B31" s="431" t="s">
        <v>446</v>
      </c>
      <c r="C31" s="420">
        <f t="shared" ref="C31:AG31" si="16">SUM(C32:C36)</f>
        <v>244690</v>
      </c>
      <c r="D31" s="420">
        <f t="shared" si="16"/>
        <v>247521.50200000001</v>
      </c>
      <c r="E31" s="420">
        <f t="shared" si="16"/>
        <v>234340</v>
      </c>
      <c r="F31" s="420">
        <f t="shared" si="16"/>
        <v>457.14728906131768</v>
      </c>
      <c r="G31" s="420">
        <f t="shared" si="16"/>
        <v>437.52165659688677</v>
      </c>
      <c r="H31" s="420">
        <f t="shared" si="16"/>
        <v>244690</v>
      </c>
      <c r="I31" s="420">
        <f t="shared" si="16"/>
        <v>247521.50200000001</v>
      </c>
      <c r="J31" s="420">
        <f t="shared" si="16"/>
        <v>234340</v>
      </c>
      <c r="K31" s="420">
        <f t="shared" si="16"/>
        <v>457.14728906131768</v>
      </c>
      <c r="L31" s="420">
        <f t="shared" si="16"/>
        <v>437.52165659688677</v>
      </c>
      <c r="M31" s="420">
        <f t="shared" si="16"/>
        <v>136461</v>
      </c>
      <c r="N31" s="420">
        <f t="shared" si="16"/>
        <v>135691</v>
      </c>
      <c r="O31" s="420">
        <f t="shared" si="16"/>
        <v>0</v>
      </c>
      <c r="P31" s="420">
        <f t="shared" si="16"/>
        <v>20</v>
      </c>
      <c r="Q31" s="420">
        <f t="shared" si="16"/>
        <v>750</v>
      </c>
      <c r="R31" s="420">
        <f t="shared" si="16"/>
        <v>53340</v>
      </c>
      <c r="S31" s="420">
        <f t="shared" si="16"/>
        <v>0</v>
      </c>
      <c r="T31" s="420">
        <f t="shared" si="16"/>
        <v>53340</v>
      </c>
      <c r="U31" s="420">
        <f t="shared" si="16"/>
        <v>1000</v>
      </c>
      <c r="V31" s="420">
        <f t="shared" si="16"/>
        <v>1000</v>
      </c>
      <c r="W31" s="420">
        <f t="shared" si="16"/>
        <v>0</v>
      </c>
      <c r="X31" s="420">
        <f t="shared" si="16"/>
        <v>0</v>
      </c>
      <c r="Y31" s="420">
        <f t="shared" si="16"/>
        <v>4740</v>
      </c>
      <c r="Z31" s="420">
        <f t="shared" si="16"/>
        <v>0</v>
      </c>
      <c r="AA31" s="420">
        <f t="shared" si="16"/>
        <v>0</v>
      </c>
      <c r="AB31" s="420">
        <f t="shared" si="16"/>
        <v>4740</v>
      </c>
      <c r="AC31" s="420">
        <f t="shared" si="16"/>
        <v>0</v>
      </c>
      <c r="AD31" s="420">
        <f t="shared" si="16"/>
        <v>3000</v>
      </c>
      <c r="AE31" s="420">
        <f t="shared" si="16"/>
        <v>299</v>
      </c>
      <c r="AF31" s="420">
        <f t="shared" si="16"/>
        <v>0</v>
      </c>
      <c r="AG31" s="420">
        <f t="shared" si="16"/>
        <v>0</v>
      </c>
    </row>
    <row r="32" spans="1:33" s="419" customFormat="1" ht="27.75" customHeight="1" x14ac:dyDescent="0.35">
      <c r="A32" s="429">
        <v>18</v>
      </c>
      <c r="B32" s="428" t="s">
        <v>445</v>
      </c>
      <c r="C32" s="421">
        <f>VLOOKUP(A32,'[2]TỔNG HỢP DT - sếp duyệt'!$A$8:$CC$41,3,0)</f>
        <v>800</v>
      </c>
      <c r="D32" s="421">
        <f>VLOOKUP(A32,'[2]TỔNG HỢP DT - sếp duyệt'!$A$8:$CC$41,5,0)</f>
        <v>875</v>
      </c>
      <c r="E32" s="421">
        <f>VLOOKUP(A32,'[2]TỔNG HỢP DT - sếp duyệt'!$A$8:$CC$41,6,0)</f>
        <v>1000</v>
      </c>
      <c r="F32" s="421">
        <f>E32/C32*100</f>
        <v>125</v>
      </c>
      <c r="G32" s="421">
        <f t="shared" ref="G32:G39" si="17">E32/D32*100</f>
        <v>114.28571428571428</v>
      </c>
      <c r="H32" s="421">
        <f>VLOOKUP(A32,'[2]TỔNG HỢP DT - sếp duyệt'!$A$8:$CC$41,9,0)</f>
        <v>800</v>
      </c>
      <c r="I32" s="421">
        <f>VLOOKUP(A32,'[2]TỔNG HỢP DT - sếp duyệt'!$A$8:$CC$41,10,0)</f>
        <v>875</v>
      </c>
      <c r="J32" s="421">
        <f>VLOOKUP(A32,'[2]TỔNG HỢP DT - sếp duyệt'!$A$8:$CC$41,11,0)</f>
        <v>1000</v>
      </c>
      <c r="K32" s="421">
        <f>J32/H32*100</f>
        <v>125</v>
      </c>
      <c r="L32" s="421">
        <f t="shared" ref="L32:L39" si="18">J32/I32*100</f>
        <v>114.28571428571428</v>
      </c>
      <c r="M32" s="421">
        <f t="shared" ref="M32:M39" si="19">SUM(N32:Q32)</f>
        <v>0</v>
      </c>
      <c r="N32" s="421">
        <f>VLOOKUP(A32,'[2]TỔNG HỢP DT - sếp duyệt'!$A$8:$CC$41,17,0)</f>
        <v>0</v>
      </c>
      <c r="O32" s="421"/>
      <c r="P32" s="421">
        <f>VLOOKUP(A32,'[2]TỔNG HỢP DT - sếp duyệt'!$A$8:$CC$41,24,0)</f>
        <v>0</v>
      </c>
      <c r="Q32" s="421">
        <f>VLOOKUP(A32,'[2]TỔNG HỢP DT - sếp duyệt'!$A$8:$CC$41,30,0)</f>
        <v>0</v>
      </c>
      <c r="R32" s="421">
        <f t="shared" ref="R32:R39" si="20">S32+T32</f>
        <v>0</v>
      </c>
      <c r="S32" s="421">
        <f>VLOOKUP(A32,'[2]TỔNG HỢP DT - sếp duyệt'!$A$8:$CC$41,62,0)</f>
        <v>0</v>
      </c>
      <c r="T32" s="421"/>
      <c r="U32" s="421">
        <f t="shared" ref="U32:U39" si="21">V32+W32+X32</f>
        <v>0</v>
      </c>
      <c r="V32" s="421">
        <f>VLOOKUP(A32,'[2]TỔNG HỢP DT - sếp duyệt'!$A$8:$CC$41,36,0)</f>
        <v>0</v>
      </c>
      <c r="W32" s="421"/>
      <c r="X32" s="421">
        <f>VLOOKUP(A32,'[2]TỔNG HỢP DT - sếp duyệt'!$A$8:$CC$41,43,0)</f>
        <v>0</v>
      </c>
      <c r="Y32" s="421">
        <f t="shared" ref="Y32:Y39" si="22">Z32+AB32+AA32</f>
        <v>1000</v>
      </c>
      <c r="Z32" s="421"/>
      <c r="AA32" s="421"/>
      <c r="AB32" s="421">
        <f>VLOOKUP(A32,'[2]TỔNG HỢP DT - sếp duyệt'!$A$8:$CC$41,56,0)</f>
        <v>1000</v>
      </c>
      <c r="AC32" s="420"/>
      <c r="AD32" s="420"/>
      <c r="AE32" s="420"/>
      <c r="AF32" s="420"/>
      <c r="AG32" s="420"/>
    </row>
    <row r="33" spans="1:33" s="419" customFormat="1" ht="27.75" customHeight="1" x14ac:dyDescent="0.35">
      <c r="A33" s="429">
        <v>19</v>
      </c>
      <c r="B33" s="430" t="s">
        <v>444</v>
      </c>
      <c r="C33" s="421">
        <f>VLOOKUP(A33,'[2]TỔNG HỢP DT - sếp duyệt'!$A$8:$CC$41,3,0)</f>
        <v>600</v>
      </c>
      <c r="D33" s="421">
        <f>VLOOKUP(A33,'[2]TỔNG HỢP DT - sếp duyệt'!$A$8:$CC$41,5,0)</f>
        <v>460</v>
      </c>
      <c r="E33" s="421">
        <f>VLOOKUP(A33,'[2]TỔNG HỢP DT - sếp duyệt'!$A$8:$CC$41,6,0)</f>
        <v>550</v>
      </c>
      <c r="F33" s="421">
        <f>E33/C33*100</f>
        <v>91.666666666666657</v>
      </c>
      <c r="G33" s="421">
        <f t="shared" si="17"/>
        <v>119.56521739130434</v>
      </c>
      <c r="H33" s="421">
        <f>VLOOKUP(A33,'[2]TỔNG HỢP DT - sếp duyệt'!$A$8:$CC$41,9,0)</f>
        <v>600</v>
      </c>
      <c r="I33" s="421">
        <f>VLOOKUP(A33,'[2]TỔNG HỢP DT - sếp duyệt'!$A$8:$CC$41,10,0)</f>
        <v>460</v>
      </c>
      <c r="J33" s="421">
        <f>VLOOKUP(A33,'[2]TỔNG HỢP DT - sếp duyệt'!$A$8:$CC$41,11,0)</f>
        <v>550</v>
      </c>
      <c r="K33" s="421">
        <f>J33/H33*100</f>
        <v>91.666666666666657</v>
      </c>
      <c r="L33" s="421">
        <f t="shared" si="18"/>
        <v>119.56521739130434</v>
      </c>
      <c r="M33" s="421">
        <f t="shared" si="19"/>
        <v>0</v>
      </c>
      <c r="N33" s="421">
        <f>VLOOKUP(A33,'[2]TỔNG HỢP DT - sếp duyệt'!$A$8:$CC$41,17,0)</f>
        <v>0</v>
      </c>
      <c r="O33" s="421"/>
      <c r="P33" s="421">
        <f>VLOOKUP(A33,'[2]TỔNG HỢP DT - sếp duyệt'!$A$8:$CC$41,24,0)</f>
        <v>0</v>
      </c>
      <c r="Q33" s="421">
        <f>VLOOKUP(A33,'[2]TỔNG HỢP DT - sếp duyệt'!$A$8:$CC$41,30,0)</f>
        <v>0</v>
      </c>
      <c r="R33" s="421">
        <f t="shared" si="20"/>
        <v>0</v>
      </c>
      <c r="S33" s="421">
        <f>VLOOKUP(A33,'[2]TỔNG HỢP DT - sếp duyệt'!$A$8:$CC$41,62,0)</f>
        <v>0</v>
      </c>
      <c r="T33" s="421"/>
      <c r="U33" s="421">
        <f t="shared" si="21"/>
        <v>0</v>
      </c>
      <c r="V33" s="421">
        <f>VLOOKUP(A33,'[2]TỔNG HỢP DT - sếp duyệt'!$A$8:$CC$41,36,0)</f>
        <v>0</v>
      </c>
      <c r="W33" s="421"/>
      <c r="X33" s="421">
        <f>VLOOKUP(A33,'[2]TỔNG HỢP DT - sếp duyệt'!$A$8:$CC$41,43,0)</f>
        <v>0</v>
      </c>
      <c r="Y33" s="421">
        <f t="shared" si="22"/>
        <v>550</v>
      </c>
      <c r="Z33" s="421"/>
      <c r="AA33" s="421"/>
      <c r="AB33" s="421">
        <f>VLOOKUP(A33,'[2]TỔNG HỢP DT - sếp duyệt'!$A$8:$CC$41,56,0)</f>
        <v>550</v>
      </c>
      <c r="AC33" s="420"/>
      <c r="AD33" s="420"/>
      <c r="AE33" s="420"/>
      <c r="AF33" s="420"/>
      <c r="AG33" s="420"/>
    </row>
    <row r="34" spans="1:33" s="419" customFormat="1" ht="27.75" customHeight="1" x14ac:dyDescent="0.35">
      <c r="A34" s="429">
        <v>20</v>
      </c>
      <c r="B34" s="428" t="s">
        <v>443</v>
      </c>
      <c r="C34" s="421">
        <f>VLOOKUP(A34,'[2]TỔNG HỢP DT - sếp duyệt'!$A$8:$CC$41,3,0)</f>
        <v>0</v>
      </c>
      <c r="D34" s="421">
        <f>VLOOKUP(A34,'[2]TỔNG HỢP DT - sếp duyệt'!$A$8:$CC$41,5,0)</f>
        <v>435.50200000000001</v>
      </c>
      <c r="E34" s="421">
        <f>VLOOKUP(A34,'[2]TỔNG HỢP DT - sếp duyệt'!$A$8:$CC$41,6,0)</f>
        <v>0</v>
      </c>
      <c r="F34" s="421"/>
      <c r="G34" s="421">
        <f t="shared" si="17"/>
        <v>0</v>
      </c>
      <c r="H34" s="421">
        <f>VLOOKUP(A34,'[2]TỔNG HỢP DT - sếp duyệt'!$A$8:$CC$41,9,0)</f>
        <v>0</v>
      </c>
      <c r="I34" s="421">
        <f>VLOOKUP(A34,'[2]TỔNG HỢP DT - sếp duyệt'!$A$8:$CC$41,10,0)</f>
        <v>435.50200000000001</v>
      </c>
      <c r="J34" s="421">
        <f>VLOOKUP(A34,'[2]TỔNG HỢP DT - sếp duyệt'!$A$8:$CC$41,11,0)</f>
        <v>0</v>
      </c>
      <c r="K34" s="421"/>
      <c r="L34" s="421">
        <f t="shared" si="18"/>
        <v>0</v>
      </c>
      <c r="M34" s="421">
        <f t="shared" si="19"/>
        <v>0</v>
      </c>
      <c r="N34" s="421">
        <f>VLOOKUP(A34,'[2]TỔNG HỢP DT - sếp duyệt'!$A$8:$CC$41,17,0)</f>
        <v>0</v>
      </c>
      <c r="O34" s="421"/>
      <c r="P34" s="421">
        <f>VLOOKUP(A34,'[2]TỔNG HỢP DT - sếp duyệt'!$A$8:$CC$41,24,0)</f>
        <v>0</v>
      </c>
      <c r="Q34" s="421">
        <f>VLOOKUP(A34,'[2]TỔNG HỢP DT - sếp duyệt'!$A$8:$CC$41,30,0)</f>
        <v>0</v>
      </c>
      <c r="R34" s="421">
        <f t="shared" si="20"/>
        <v>0</v>
      </c>
      <c r="S34" s="421">
        <f>VLOOKUP(A34,'[2]TỔNG HỢP DT - sếp duyệt'!$A$8:$CC$41,62,0)</f>
        <v>0</v>
      </c>
      <c r="T34" s="421"/>
      <c r="U34" s="421">
        <f t="shared" si="21"/>
        <v>0</v>
      </c>
      <c r="V34" s="421">
        <f>VLOOKUP(A34,'[2]TỔNG HỢP DT - sếp duyệt'!$A$8:$CC$41,36,0)</f>
        <v>0</v>
      </c>
      <c r="W34" s="421"/>
      <c r="X34" s="421">
        <f>VLOOKUP(A34,'[2]TỔNG HỢP DT - sếp duyệt'!$A$8:$CC$41,43,0)</f>
        <v>0</v>
      </c>
      <c r="Y34" s="421">
        <f t="shared" si="22"/>
        <v>0</v>
      </c>
      <c r="Z34" s="421"/>
      <c r="AA34" s="421"/>
      <c r="AB34" s="421">
        <f>VLOOKUP(A34,'[2]TỔNG HỢP DT - sếp duyệt'!$A$8:$CC$41,56,0)</f>
        <v>0</v>
      </c>
      <c r="AC34" s="420"/>
      <c r="AD34" s="420"/>
      <c r="AE34" s="420"/>
      <c r="AF34" s="420"/>
      <c r="AG34" s="420"/>
    </row>
    <row r="35" spans="1:33" s="419" customFormat="1" ht="27.75" customHeight="1" x14ac:dyDescent="0.35">
      <c r="A35" s="429">
        <v>21</v>
      </c>
      <c r="B35" s="428" t="s">
        <v>442</v>
      </c>
      <c r="C35" s="421">
        <f>VLOOKUP(A35,'[2]TỔNG HỢP DT - sếp duyệt'!$A$8:$CC$41,3,0)</f>
        <v>1000</v>
      </c>
      <c r="D35" s="421">
        <f>VLOOKUP(A35,'[2]TỔNG HỢP DT - sếp duyệt'!$A$8:$CC$41,5,0)</f>
        <v>1330</v>
      </c>
      <c r="E35" s="421">
        <f>VLOOKUP(A35,'[2]TỔNG HỢP DT - sếp duyệt'!$A$8:$CC$41,6,0)</f>
        <v>1450</v>
      </c>
      <c r="F35" s="421">
        <f>E35/C35*100</f>
        <v>145</v>
      </c>
      <c r="G35" s="421">
        <f t="shared" si="17"/>
        <v>109.02255639097744</v>
      </c>
      <c r="H35" s="421">
        <f>VLOOKUP(A35,'[2]TỔNG HỢP DT - sếp duyệt'!$A$8:$CC$41,9,0)</f>
        <v>1000</v>
      </c>
      <c r="I35" s="421">
        <f>VLOOKUP(A35,'[2]TỔNG HỢP DT - sếp duyệt'!$A$8:$CC$41,10,0)</f>
        <v>1330</v>
      </c>
      <c r="J35" s="421">
        <f>VLOOKUP(A35,'[2]TỔNG HỢP DT - sếp duyệt'!$A$8:$CC$41,11,0)</f>
        <v>1450</v>
      </c>
      <c r="K35" s="421">
        <f>J35/H35*100</f>
        <v>145</v>
      </c>
      <c r="L35" s="421">
        <f t="shared" si="18"/>
        <v>109.02255639097744</v>
      </c>
      <c r="M35" s="421">
        <f t="shared" si="19"/>
        <v>0</v>
      </c>
      <c r="N35" s="421">
        <f>VLOOKUP(A35,'[2]TỔNG HỢP DT - sếp duyệt'!$A$8:$CC$41,17,0)</f>
        <v>0</v>
      </c>
      <c r="O35" s="421"/>
      <c r="P35" s="421">
        <f>VLOOKUP(A35,'[2]TỔNG HỢP DT - sếp duyệt'!$A$8:$CC$41,24,0)</f>
        <v>0</v>
      </c>
      <c r="Q35" s="421">
        <f>VLOOKUP(A35,'[2]TỔNG HỢP DT - sếp duyệt'!$A$8:$CC$41,30,0)</f>
        <v>0</v>
      </c>
      <c r="R35" s="421">
        <f t="shared" si="20"/>
        <v>0</v>
      </c>
      <c r="S35" s="421">
        <f>VLOOKUP(A35,'[2]TỔNG HỢP DT - sếp duyệt'!$A$8:$CC$41,62,0)</f>
        <v>0</v>
      </c>
      <c r="T35" s="421"/>
      <c r="U35" s="421">
        <f t="shared" si="21"/>
        <v>0</v>
      </c>
      <c r="V35" s="421">
        <f>VLOOKUP(A35,'[2]TỔNG HỢP DT - sếp duyệt'!$A$8:$CC$41,36,0)</f>
        <v>0</v>
      </c>
      <c r="W35" s="421"/>
      <c r="X35" s="421">
        <f>VLOOKUP(A35,'[2]TỔNG HỢP DT - sếp duyệt'!$A$8:$CC$41,43,0)</f>
        <v>0</v>
      </c>
      <c r="Y35" s="421">
        <f t="shared" si="22"/>
        <v>1450</v>
      </c>
      <c r="Z35" s="421"/>
      <c r="AA35" s="421"/>
      <c r="AB35" s="421">
        <f>VLOOKUP(A35,'[2]TỔNG HỢP DT - sếp duyệt'!$A$8:$CC$41,56,0)</f>
        <v>1450</v>
      </c>
      <c r="AC35" s="420"/>
      <c r="AD35" s="420"/>
      <c r="AE35" s="420"/>
      <c r="AF35" s="420"/>
      <c r="AG35" s="420"/>
    </row>
    <row r="36" spans="1:33" s="422" customFormat="1" ht="34.5" customHeight="1" x14ac:dyDescent="0.25">
      <c r="A36" s="423">
        <v>22</v>
      </c>
      <c r="B36" s="425" t="s">
        <v>441</v>
      </c>
      <c r="C36" s="421">
        <f>VLOOKUP(A36,'[2]TỔNG HỢP DT - sếp duyệt'!$A$8:$CC$41,3,0)</f>
        <v>242290</v>
      </c>
      <c r="D36" s="421">
        <f>VLOOKUP(A36,'[2]TỔNG HỢP DT - sếp duyệt'!$A$8:$CC$41,5,0)</f>
        <v>244421</v>
      </c>
      <c r="E36" s="421">
        <f>VLOOKUP(A36,'[2]TỔNG HỢP DT - sếp duyệt'!$A$8:$CC$41,6,0)</f>
        <v>231340</v>
      </c>
      <c r="F36" s="421">
        <f>E36/C36*100</f>
        <v>95.480622394651036</v>
      </c>
      <c r="G36" s="421">
        <f t="shared" si="17"/>
        <v>94.648168528890736</v>
      </c>
      <c r="H36" s="421">
        <f>VLOOKUP(A36,'[2]TỔNG HỢP DT - sếp duyệt'!$A$8:$CC$41,9,0)</f>
        <v>242290</v>
      </c>
      <c r="I36" s="421">
        <f>VLOOKUP(A36,'[2]TỔNG HỢP DT - sếp duyệt'!$A$8:$CC$41,10,0)</f>
        <v>244421</v>
      </c>
      <c r="J36" s="421">
        <f>VLOOKUP(A36,'[2]TỔNG HỢP DT - sếp duyệt'!$A$8:$CC$41,11,0)</f>
        <v>231340</v>
      </c>
      <c r="K36" s="421">
        <f>J36/H36*100</f>
        <v>95.480622394651036</v>
      </c>
      <c r="L36" s="421">
        <f t="shared" si="18"/>
        <v>94.648168528890736</v>
      </c>
      <c r="M36" s="421">
        <f t="shared" si="19"/>
        <v>136461</v>
      </c>
      <c r="N36" s="421">
        <f>VLOOKUP(A36,'[2]TỔNG HỢP DT - sếp duyệt'!$A$8:$CC$41,17,0)</f>
        <v>135691</v>
      </c>
      <c r="O36" s="421"/>
      <c r="P36" s="421">
        <f>VLOOKUP(A36,'[2]TỔNG HỢP DT - sếp duyệt'!$A$8:$CC$41,24,0)</f>
        <v>20</v>
      </c>
      <c r="Q36" s="421">
        <f>VLOOKUP(A36,'[2]TỔNG HỢP DT - sếp duyệt'!$A$8:$CC$41,30,0)</f>
        <v>750</v>
      </c>
      <c r="R36" s="421">
        <f t="shared" si="20"/>
        <v>53340</v>
      </c>
      <c r="S36" s="421"/>
      <c r="T36" s="421">
        <f>VLOOKUP(A36,'[2]TỔNG HỢP DT - sếp duyệt'!$A$8:$CC$41,62,0)</f>
        <v>53340</v>
      </c>
      <c r="U36" s="421">
        <f t="shared" si="21"/>
        <v>1000</v>
      </c>
      <c r="V36" s="421">
        <f>VLOOKUP(A36,'[2]TỔNG HỢP DT - sếp duyệt'!$A$8:$CC$41,36,0)</f>
        <v>1000</v>
      </c>
      <c r="W36" s="421"/>
      <c r="X36" s="421">
        <f>VLOOKUP(A36,'[2]TỔNG HỢP DT - sếp duyệt'!$A$8:$CC$41,43,0)</f>
        <v>0</v>
      </c>
      <c r="Y36" s="421">
        <f t="shared" si="22"/>
        <v>1740</v>
      </c>
      <c r="Z36" s="423">
        <f>SUM(Z37:Z38)</f>
        <v>0</v>
      </c>
      <c r="AA36" s="423">
        <f>SUM(AA37:AA38)</f>
        <v>0</v>
      </c>
      <c r="AB36" s="421">
        <f>VLOOKUP(A36,'[2]TỔNG HỢP DT - sếp duyệt'!$A$8:$CC$41,56,0)</f>
        <v>1740</v>
      </c>
      <c r="AC36" s="423">
        <f>SUM(AC37:AC38)</f>
        <v>0</v>
      </c>
      <c r="AD36" s="423">
        <f>SUM(AD37:AD38)</f>
        <v>3000</v>
      </c>
      <c r="AE36" s="423">
        <f>SUM(AE37:AE38)</f>
        <v>299</v>
      </c>
      <c r="AF36" s="423">
        <f>SUM(AF37:AF38)</f>
        <v>0</v>
      </c>
      <c r="AG36" s="423">
        <f>SUM(AG37:AG38)</f>
        <v>0</v>
      </c>
    </row>
    <row r="37" spans="1:33" s="422" customFormat="1" ht="34.5" customHeight="1" x14ac:dyDescent="0.25">
      <c r="A37" s="427" t="s">
        <v>440</v>
      </c>
      <c r="B37" s="426" t="s">
        <v>439</v>
      </c>
      <c r="C37" s="421">
        <f>VLOOKUP(A37,'[2]TỔNG HỢP DT - sếp duyệt'!$A$8:$CC$41,3,0)</f>
        <v>143090</v>
      </c>
      <c r="D37" s="421">
        <f>VLOOKUP(A37,'[2]TỔNG HỢP DT - sếp duyệt'!$A$8:$CC$41,5,0)</f>
        <v>146651</v>
      </c>
      <c r="E37" s="421">
        <f>VLOOKUP(A37,'[2]TỔNG HỢP DT - sếp duyệt'!$A$8:$CC$41,6,0)</f>
        <v>139201</v>
      </c>
      <c r="F37" s="421">
        <f>E37/C37*100</f>
        <v>97.282130127891548</v>
      </c>
      <c r="G37" s="421">
        <f t="shared" si="17"/>
        <v>94.919911899680201</v>
      </c>
      <c r="H37" s="421">
        <f>VLOOKUP(A37,'[2]TỔNG HỢP DT - sếp duyệt'!$A$8:$CC$41,9,0)</f>
        <v>143090</v>
      </c>
      <c r="I37" s="421">
        <f>VLOOKUP(A37,'[2]TỔNG HỢP DT - sếp duyệt'!$A$8:$CC$41,10,0)</f>
        <v>146651</v>
      </c>
      <c r="J37" s="421">
        <f>VLOOKUP(A37,'[2]TỔNG HỢP DT - sếp duyệt'!$A$8:$CC$41,11,0)</f>
        <v>139201</v>
      </c>
      <c r="K37" s="421">
        <f>J37/H37*100</f>
        <v>97.282130127891548</v>
      </c>
      <c r="L37" s="421">
        <f t="shared" si="18"/>
        <v>94.919911899680201</v>
      </c>
      <c r="M37" s="421">
        <f t="shared" si="19"/>
        <v>136461</v>
      </c>
      <c r="N37" s="421">
        <f>VLOOKUP(A37,'[2]TỔNG HỢP DT - sếp duyệt'!$A$8:$CC$41,17,0)</f>
        <v>135691</v>
      </c>
      <c r="O37" s="421"/>
      <c r="P37" s="421">
        <f>VLOOKUP(A37,'[2]TỔNG HỢP DT - sếp duyệt'!$A$8:$CC$41,24,0)</f>
        <v>20</v>
      </c>
      <c r="Q37" s="421">
        <f>VLOOKUP(A37,'[2]TỔNG HỢP DT - sếp duyệt'!$A$8:$CC$41,30,0)</f>
        <v>750</v>
      </c>
      <c r="R37" s="421">
        <f t="shared" si="20"/>
        <v>0</v>
      </c>
      <c r="S37" s="421">
        <f>VLOOKUP(A37,'[2]TỔNG HỢP DT - sếp duyệt'!$A$8:$CC$41,62,0)</f>
        <v>0</v>
      </c>
      <c r="T37" s="421"/>
      <c r="U37" s="421">
        <f t="shared" si="21"/>
        <v>1000</v>
      </c>
      <c r="V37" s="421">
        <f>VLOOKUP(A37,'[2]TỔNG HỢP DT - sếp duyệt'!$A$8:$CC$41,36,0)</f>
        <v>1000</v>
      </c>
      <c r="W37" s="421"/>
      <c r="X37" s="421">
        <f>VLOOKUP(A37,'[2]TỔNG HỢP DT - sếp duyệt'!$A$8:$CC$41,43,0)</f>
        <v>0</v>
      </c>
      <c r="Y37" s="421">
        <f t="shared" si="22"/>
        <v>1740</v>
      </c>
      <c r="Z37" s="421"/>
      <c r="AA37" s="421"/>
      <c r="AB37" s="421">
        <f>VLOOKUP(A37,'[2]TỔNG HỢP DT - sếp duyệt'!$A$8:$BD$41,56,0)</f>
        <v>1740</v>
      </c>
      <c r="AC37" s="423"/>
      <c r="AD37" s="423"/>
      <c r="AE37" s="423"/>
      <c r="AF37" s="423"/>
      <c r="AG37" s="423"/>
    </row>
    <row r="38" spans="1:33" s="422" customFormat="1" ht="34.5" customHeight="1" x14ac:dyDescent="0.25">
      <c r="A38" s="427" t="s">
        <v>438</v>
      </c>
      <c r="B38" s="426" t="s">
        <v>437</v>
      </c>
      <c r="C38" s="421">
        <f>VLOOKUP(A38,'[2]TỔNG HỢP DT - sếp duyệt'!$A$8:$CC$41,3,0)</f>
        <v>73200</v>
      </c>
      <c r="D38" s="421">
        <f>VLOOKUP(A38,'[2]TỔNG HỢP DT - sếp duyệt'!$A$8:$CC$41,5,0)</f>
        <v>59770</v>
      </c>
      <c r="E38" s="421">
        <f>VLOOKUP(A38,'[2]TỔNG HỢP DT - sếp duyệt'!$A$8:$CC$41,6,0)</f>
        <v>56639</v>
      </c>
      <c r="F38" s="421">
        <f>E38/C38*100</f>
        <v>77.375683060109296</v>
      </c>
      <c r="G38" s="421">
        <f t="shared" si="17"/>
        <v>94.761586079973227</v>
      </c>
      <c r="H38" s="421">
        <f>VLOOKUP(A38,'[2]TỔNG HỢP DT - sếp duyệt'!$A$8:$CC$41,9,0)</f>
        <v>73200</v>
      </c>
      <c r="I38" s="421">
        <f>VLOOKUP(A38,'[2]TỔNG HỢP DT - sếp duyệt'!$A$8:$CC$41,10,0)</f>
        <v>59770</v>
      </c>
      <c r="J38" s="421">
        <f>VLOOKUP(A38,'[2]TỔNG HỢP DT - sếp duyệt'!$A$8:$CC$41,11,0)</f>
        <v>56639</v>
      </c>
      <c r="K38" s="421">
        <f>J38/H38*100</f>
        <v>77.375683060109296</v>
      </c>
      <c r="L38" s="421">
        <f t="shared" si="18"/>
        <v>94.761586079973227</v>
      </c>
      <c r="M38" s="421">
        <f t="shared" si="19"/>
        <v>0</v>
      </c>
      <c r="N38" s="421">
        <f>VLOOKUP(A38,'[2]TỔNG HỢP DT - sếp duyệt'!$A$8:$CC$41,17,0)</f>
        <v>0</v>
      </c>
      <c r="O38" s="421"/>
      <c r="P38" s="421">
        <f>VLOOKUP(A38,'[2]TỔNG HỢP DT - sếp duyệt'!$A$8:$CC$41,24,0)</f>
        <v>0</v>
      </c>
      <c r="Q38" s="421">
        <f>VLOOKUP(A38,'[2]TỔNG HỢP DT - sếp duyệt'!$A$8:$CC$41,30,0)</f>
        <v>0</v>
      </c>
      <c r="R38" s="421">
        <f t="shared" si="20"/>
        <v>53340</v>
      </c>
      <c r="S38" s="421"/>
      <c r="T38" s="421">
        <f>VLOOKUP(A38,'[2]TỔNG HỢP DT - sếp duyệt'!$A$8:$CC$41,62,0)</f>
        <v>53340</v>
      </c>
      <c r="U38" s="421">
        <f t="shared" si="21"/>
        <v>0</v>
      </c>
      <c r="V38" s="421">
        <f>VLOOKUP(A38,'[2]TỔNG HỢP DT - sếp duyệt'!$A$8:$CC$41,36,0)</f>
        <v>0</v>
      </c>
      <c r="W38" s="421"/>
      <c r="X38" s="421">
        <f>VLOOKUP(A38,'[2]TỔNG HỢP DT - sếp duyệt'!$A$8:$CC$41,43,0)</f>
        <v>0</v>
      </c>
      <c r="Y38" s="421">
        <f t="shared" si="22"/>
        <v>0</v>
      </c>
      <c r="Z38" s="421"/>
      <c r="AA38" s="421"/>
      <c r="AB38" s="421">
        <f>VLOOKUP(A38,'[2]TỔNG HỢP DT - sếp duyệt'!$A$8:$BD$41,56,0)</f>
        <v>0</v>
      </c>
      <c r="AC38" s="423"/>
      <c r="AD38" s="423">
        <v>3000</v>
      </c>
      <c r="AE38" s="423">
        <v>299</v>
      </c>
      <c r="AF38" s="423"/>
      <c r="AG38" s="423"/>
    </row>
    <row r="39" spans="1:33" s="422" customFormat="1" ht="34.5" customHeight="1" x14ac:dyDescent="0.25">
      <c r="A39" s="423">
        <v>23</v>
      </c>
      <c r="B39" s="425" t="s">
        <v>366</v>
      </c>
      <c r="C39" s="421">
        <f>VLOOKUP(A39,'[2]TỔNG HỢP DT - sếp duyệt'!$A$8:$CC$41,3,0)</f>
        <v>26000</v>
      </c>
      <c r="D39" s="421">
        <f>VLOOKUP(A39,'[2]TỔNG HỢP DT - sếp duyệt'!$A$8:$CC$41,5,0)</f>
        <v>38000</v>
      </c>
      <c r="E39" s="421">
        <f>VLOOKUP(A39,'[2]TỔNG HỢP DT - sếp duyệt'!$A$8:$CC$41,6,0)</f>
        <v>35500</v>
      </c>
      <c r="F39" s="421">
        <f>E39/C39*100</f>
        <v>136.53846153846155</v>
      </c>
      <c r="G39" s="421">
        <f t="shared" si="17"/>
        <v>93.421052631578945</v>
      </c>
      <c r="H39" s="421">
        <f>VLOOKUP(A39,'[2]TỔNG HỢP DT - sếp duyệt'!$A$8:$CC$41,9,0)</f>
        <v>26000</v>
      </c>
      <c r="I39" s="421">
        <f>VLOOKUP(A39,'[2]TỔNG HỢP DT - sếp duyệt'!$A$8:$CC$41,10,0)</f>
        <v>38000</v>
      </c>
      <c r="J39" s="421">
        <f>VLOOKUP(A39,'[2]TỔNG HỢP DT - sếp duyệt'!$A$8:$CC$41,11,0)</f>
        <v>35500</v>
      </c>
      <c r="K39" s="421">
        <f>J39/H39*100</f>
        <v>136.53846153846155</v>
      </c>
      <c r="L39" s="421">
        <f t="shared" si="18"/>
        <v>93.421052631578945</v>
      </c>
      <c r="M39" s="421">
        <f t="shared" si="19"/>
        <v>0</v>
      </c>
      <c r="N39" s="421">
        <f>VLOOKUP(A39,'[2]TỔNG HỢP DT - sếp duyệt'!$A$8:$CC$41,17,0)</f>
        <v>0</v>
      </c>
      <c r="O39" s="421"/>
      <c r="P39" s="421">
        <f>VLOOKUP(A39,'[2]TỔNG HỢP DT - sếp duyệt'!$A$8:$CC$41,24,0)</f>
        <v>0</v>
      </c>
      <c r="Q39" s="421">
        <f>VLOOKUP(A39,'[2]TỔNG HỢP DT - sếp duyệt'!$A$8:$CC$41,30,0)</f>
        <v>0</v>
      </c>
      <c r="R39" s="421">
        <f t="shared" si="20"/>
        <v>0</v>
      </c>
      <c r="S39" s="421">
        <f>VLOOKUP(A39,'[2]TỔNG HỢP DT - sếp duyệt'!$A$8:$CC$41,62,0)</f>
        <v>0</v>
      </c>
      <c r="T39" s="421"/>
      <c r="U39" s="421">
        <f t="shared" si="21"/>
        <v>0</v>
      </c>
      <c r="V39" s="421">
        <f>VLOOKUP(A39,'[2]TỔNG HỢP DT - sếp duyệt'!$A$8:$CC$41,36,0)</f>
        <v>0</v>
      </c>
      <c r="W39" s="421"/>
      <c r="X39" s="421">
        <f>VLOOKUP(A39,'[2]TỔNG HỢP DT - sếp duyệt'!$A$8:$CC$41,43,0)</f>
        <v>0</v>
      </c>
      <c r="Y39" s="421">
        <f t="shared" si="22"/>
        <v>0</v>
      </c>
      <c r="Z39" s="421"/>
      <c r="AA39" s="421"/>
      <c r="AB39" s="421">
        <f>VLOOKUP(A39,'[2]TỔNG HỢP DT - sếp duyệt'!$A$8:$BD$41,56,0)</f>
        <v>0</v>
      </c>
      <c r="AC39" s="423"/>
      <c r="AD39" s="423"/>
      <c r="AE39" s="423"/>
      <c r="AF39" s="423"/>
      <c r="AG39" s="423"/>
    </row>
    <row r="40" spans="1:33" s="422" customFormat="1" ht="34.5" hidden="1" customHeight="1" x14ac:dyDescent="0.25">
      <c r="A40" s="423"/>
      <c r="B40" s="423"/>
      <c r="C40" s="423"/>
      <c r="D40" s="420"/>
      <c r="E40" s="423"/>
      <c r="F40" s="421"/>
      <c r="G40" s="421"/>
      <c r="H40" s="423"/>
      <c r="I40" s="423"/>
      <c r="J40" s="424"/>
      <c r="K40" s="424"/>
      <c r="L40" s="424"/>
      <c r="M40" s="423"/>
      <c r="N40" s="421"/>
      <c r="O40" s="423"/>
      <c r="P40" s="423"/>
      <c r="Q40" s="423"/>
      <c r="R40" s="423"/>
      <c r="S40" s="423"/>
      <c r="T40" s="423"/>
      <c r="U40" s="423"/>
      <c r="V40" s="423"/>
      <c r="W40" s="423"/>
      <c r="X40" s="423"/>
      <c r="Y40" s="421"/>
      <c r="Z40" s="421"/>
      <c r="AA40" s="421"/>
      <c r="AB40" s="421"/>
      <c r="AC40" s="423"/>
      <c r="AD40" s="423"/>
      <c r="AE40" s="423"/>
      <c r="AF40" s="423"/>
      <c r="AG40" s="423"/>
    </row>
    <row r="41" spans="1:33" s="422" customFormat="1" ht="34.5" hidden="1" customHeight="1" x14ac:dyDescent="0.25">
      <c r="A41" s="423"/>
      <c r="B41" s="423"/>
      <c r="C41" s="423"/>
      <c r="D41" s="420"/>
      <c r="E41" s="423"/>
      <c r="F41" s="421"/>
      <c r="G41" s="421"/>
      <c r="H41" s="423"/>
      <c r="I41" s="423"/>
      <c r="J41" s="424"/>
      <c r="K41" s="424"/>
      <c r="L41" s="424"/>
      <c r="M41" s="423"/>
      <c r="N41" s="421"/>
      <c r="O41" s="423"/>
      <c r="P41" s="423"/>
      <c r="Q41" s="423"/>
      <c r="R41" s="423"/>
      <c r="S41" s="423"/>
      <c r="T41" s="423"/>
      <c r="U41" s="423"/>
      <c r="V41" s="423"/>
      <c r="W41" s="423"/>
      <c r="X41" s="423"/>
      <c r="Y41" s="421"/>
      <c r="Z41" s="421"/>
      <c r="AA41" s="421"/>
      <c r="AB41" s="421"/>
      <c r="AC41" s="423"/>
      <c r="AD41" s="423"/>
      <c r="AE41" s="423"/>
      <c r="AF41" s="423"/>
      <c r="AG41" s="423"/>
    </row>
    <row r="42" spans="1:33" s="419" customFormat="1" ht="24.75" customHeight="1" x14ac:dyDescent="0.3">
      <c r="A42" s="500" t="s">
        <v>436</v>
      </c>
      <c r="B42" s="500"/>
      <c r="C42" s="420">
        <f>C30+C31</f>
        <v>1345900</v>
      </c>
      <c r="D42" s="420">
        <f>D30+D31</f>
        <v>1547076.974988</v>
      </c>
      <c r="E42" s="420">
        <f>E30+E31</f>
        <v>1928427.9000000001</v>
      </c>
      <c r="F42" s="420">
        <f>E42/C42*100</f>
        <v>143.28166282784755</v>
      </c>
      <c r="G42" s="420">
        <f>E42/D42*100</f>
        <v>124.64977057880122</v>
      </c>
      <c r="H42" s="420">
        <f>H30+H31</f>
        <v>345900</v>
      </c>
      <c r="I42" s="420">
        <f>I30+I31</f>
        <v>328026.02598799998</v>
      </c>
      <c r="J42" s="420">
        <f>J30+J31</f>
        <v>328427.90000000002</v>
      </c>
      <c r="K42" s="420">
        <f>J42/H42*100</f>
        <v>94.948800231280728</v>
      </c>
      <c r="L42" s="420">
        <f>J42/I42*100</f>
        <v>100.12251284354332</v>
      </c>
      <c r="M42" s="420">
        <f t="shared" ref="M42:AG42" si="23">M30+M31</f>
        <v>150000</v>
      </c>
      <c r="N42" s="420">
        <f t="shared" si="23"/>
        <v>149130</v>
      </c>
      <c r="O42" s="420">
        <f t="shared" si="23"/>
        <v>0</v>
      </c>
      <c r="P42" s="420">
        <f t="shared" si="23"/>
        <v>70</v>
      </c>
      <c r="Q42" s="420">
        <f t="shared" si="23"/>
        <v>800</v>
      </c>
      <c r="R42" s="420">
        <f t="shared" si="23"/>
        <v>78000</v>
      </c>
      <c r="S42" s="420">
        <f t="shared" si="23"/>
        <v>24660</v>
      </c>
      <c r="T42" s="420">
        <f t="shared" si="23"/>
        <v>53340</v>
      </c>
      <c r="U42" s="420">
        <f t="shared" si="23"/>
        <v>43198</v>
      </c>
      <c r="V42" s="420">
        <f t="shared" si="23"/>
        <v>8098</v>
      </c>
      <c r="W42" s="420">
        <f t="shared" si="23"/>
        <v>0</v>
      </c>
      <c r="X42" s="420">
        <f t="shared" si="23"/>
        <v>35100</v>
      </c>
      <c r="Y42" s="420">
        <f t="shared" si="23"/>
        <v>8999.9000000000015</v>
      </c>
      <c r="Z42" s="420">
        <f t="shared" si="23"/>
        <v>2079</v>
      </c>
      <c r="AA42" s="420">
        <f t="shared" si="23"/>
        <v>480.90000000000003</v>
      </c>
      <c r="AB42" s="420">
        <f t="shared" si="23"/>
        <v>6440</v>
      </c>
      <c r="AC42" s="420">
        <f t="shared" si="23"/>
        <v>1600000</v>
      </c>
      <c r="AD42" s="420">
        <f t="shared" si="23"/>
        <v>3000</v>
      </c>
      <c r="AE42" s="420">
        <f t="shared" si="23"/>
        <v>5030</v>
      </c>
      <c r="AF42" s="420">
        <f t="shared" si="23"/>
        <v>0</v>
      </c>
      <c r="AG42" s="420">
        <f t="shared" si="23"/>
        <v>4700</v>
      </c>
    </row>
    <row r="43" spans="1:33" s="419" customFormat="1" ht="24.75" customHeight="1" x14ac:dyDescent="0.3">
      <c r="A43" s="501" t="s">
        <v>435</v>
      </c>
      <c r="B43" s="501"/>
      <c r="C43" s="420"/>
      <c r="D43" s="420"/>
      <c r="E43" s="420">
        <f>M43+U43++Y43+AC43+AD43+AE43+AG43+E39+R43</f>
        <v>1919800</v>
      </c>
      <c r="F43" s="421"/>
      <c r="G43" s="421"/>
      <c r="H43" s="420">
        <f>E43-AC43</f>
        <v>319800</v>
      </c>
      <c r="I43" s="420"/>
      <c r="J43" s="420"/>
      <c r="K43" s="420"/>
      <c r="L43" s="420"/>
      <c r="M43" s="420">
        <v>150000</v>
      </c>
      <c r="N43" s="420"/>
      <c r="O43" s="420"/>
      <c r="P43" s="420"/>
      <c r="Q43" s="420"/>
      <c r="R43" s="420">
        <v>78000</v>
      </c>
      <c r="S43" s="420"/>
      <c r="T43" s="420"/>
      <c r="U43" s="420">
        <v>39000</v>
      </c>
      <c r="V43" s="420">
        <v>7500</v>
      </c>
      <c r="W43" s="420"/>
      <c r="X43" s="420"/>
      <c r="Y43" s="420">
        <v>8000</v>
      </c>
      <c r="Z43" s="420"/>
      <c r="AA43" s="420"/>
      <c r="AB43" s="420"/>
      <c r="AC43" s="420">
        <v>1600000</v>
      </c>
      <c r="AD43" s="420">
        <v>3000</v>
      </c>
      <c r="AE43" s="420">
        <v>2500</v>
      </c>
      <c r="AF43" s="420"/>
      <c r="AG43" s="420">
        <v>3800</v>
      </c>
    </row>
    <row r="44" spans="1:33" x14ac:dyDescent="0.35">
      <c r="C44" s="415"/>
      <c r="Z44" s="418"/>
    </row>
    <row r="45" spans="1:33" s="416" customFormat="1" ht="13.8" x14ac:dyDescent="0.25">
      <c r="J45" s="417"/>
    </row>
    <row r="46" spans="1:33" s="416" customFormat="1" ht="13.8" x14ac:dyDescent="0.25">
      <c r="J46" s="417"/>
    </row>
    <row r="47" spans="1:33" x14ac:dyDescent="0.35">
      <c r="C47" s="415"/>
    </row>
    <row r="48" spans="1:33" x14ac:dyDescent="0.35">
      <c r="C48" s="415"/>
    </row>
  </sheetData>
  <mergeCells count="57">
    <mergeCell ref="A42:B42"/>
    <mergeCell ref="A43:B43"/>
    <mergeCell ref="G7:G8"/>
    <mergeCell ref="F7:F8"/>
    <mergeCell ref="V7:V8"/>
    <mergeCell ref="K7:K8"/>
    <mergeCell ref="L7:L8"/>
    <mergeCell ref="N7:N8"/>
    <mergeCell ref="O7:O8"/>
    <mergeCell ref="S7:S8"/>
    <mergeCell ref="T7:T8"/>
    <mergeCell ref="A4:A8"/>
    <mergeCell ref="B4:B8"/>
    <mergeCell ref="C4:G4"/>
    <mergeCell ref="H4:L4"/>
    <mergeCell ref="M4:AG4"/>
    <mergeCell ref="AB7:AB8"/>
    <mergeCell ref="U6:U8"/>
    <mergeCell ref="V6:X6"/>
    <mergeCell ref="Y6:Y8"/>
    <mergeCell ref="Z6:AB6"/>
    <mergeCell ref="W7:W8"/>
    <mergeCell ref="X7:X8"/>
    <mergeCell ref="Z7:Z8"/>
    <mergeCell ref="AA7:AA8"/>
    <mergeCell ref="AF5:AF8"/>
    <mergeCell ref="AG5:AG8"/>
    <mergeCell ref="C6:C8"/>
    <mergeCell ref="D6:D8"/>
    <mergeCell ref="E6:E8"/>
    <mergeCell ref="F6:G6"/>
    <mergeCell ref="H6:H8"/>
    <mergeCell ref="I6:I8"/>
    <mergeCell ref="J6:J8"/>
    <mergeCell ref="K6:L6"/>
    <mergeCell ref="M6:M8"/>
    <mergeCell ref="N6:Q6"/>
    <mergeCell ref="R6:R8"/>
    <mergeCell ref="S6:T6"/>
    <mergeCell ref="P7:P8"/>
    <mergeCell ref="Q7:Q8"/>
    <mergeCell ref="AE5:AE8"/>
    <mergeCell ref="AE1:AG1"/>
    <mergeCell ref="A1:D1"/>
    <mergeCell ref="E1:AC1"/>
    <mergeCell ref="A2:H2"/>
    <mergeCell ref="A3:F3"/>
    <mergeCell ref="R5:T5"/>
    <mergeCell ref="U5:X5"/>
    <mergeCell ref="Y5:AB5"/>
    <mergeCell ref="AC5:AC8"/>
    <mergeCell ref="AD5:AD8"/>
    <mergeCell ref="C5:D5"/>
    <mergeCell ref="E5:G5"/>
    <mergeCell ref="H5:I5"/>
    <mergeCell ref="J5:L5"/>
    <mergeCell ref="M5:Q5"/>
  </mergeCells>
  <pageMargins left="0" right="0" top="0.39370078740157499" bottom="0" header="0.31496062992126" footer="0.31496062992126"/>
  <pageSetup paperSize="8"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41"/>
  <sheetViews>
    <sheetView tabSelected="1" view="pageBreakPreview" zoomScale="85" zoomScaleNormal="96" zoomScaleSheetLayoutView="85" workbookViewId="0">
      <pane xSplit="2" ySplit="7" topLeftCell="AA8" activePane="bottomRight" state="frozen"/>
      <selection activeCell="B15" sqref="B15"/>
      <selection pane="topRight" activeCell="B15" sqref="B15"/>
      <selection pane="bottomLeft" activeCell="B15" sqref="B15"/>
      <selection pane="bottomRight" activeCell="AA25" sqref="AA25"/>
    </sheetView>
  </sheetViews>
  <sheetFormatPr defaultColWidth="9" defaultRowHeight="15.6" x14ac:dyDescent="0.3"/>
  <cols>
    <col min="1" max="1" width="4.69921875" style="23" customWidth="1"/>
    <col min="2" max="2" width="45.3984375" customWidth="1"/>
    <col min="3" max="3" width="10.09765625" style="2" hidden="1" customWidth="1"/>
    <col min="4" max="4" width="12.69921875" style="2" hidden="1" customWidth="1"/>
    <col min="5" max="5" width="12.5" style="2" hidden="1" customWidth="1"/>
    <col min="6" max="6" width="11.09765625" style="2" hidden="1" customWidth="1"/>
    <col min="7" max="8" width="13.19921875" style="2" hidden="1" customWidth="1"/>
    <col min="9" max="9" width="11.09765625" style="2" hidden="1" customWidth="1"/>
    <col min="10" max="10" width="9" style="2" hidden="1" customWidth="1"/>
    <col min="11" max="11" width="8.5" style="2" hidden="1" customWidth="1"/>
    <col min="12" max="12" width="7.5" style="2" hidden="1" customWidth="1"/>
    <col min="13" max="13" width="13.3984375" style="2" hidden="1" customWidth="1"/>
    <col min="14" max="14" width="13.09765625" style="2" hidden="1" customWidth="1"/>
    <col min="15" max="15" width="11.5" style="2" hidden="1" customWidth="1"/>
    <col min="16" max="17" width="0" hidden="1" customWidth="1"/>
    <col min="18" max="18" width="12.69921875" style="2" hidden="1" customWidth="1"/>
    <col min="19" max="19" width="12.5" style="2" hidden="1" customWidth="1"/>
    <col min="20" max="20" width="11.09765625" style="2" hidden="1" customWidth="1"/>
    <col min="21" max="22" width="13.19921875" style="2" hidden="1" customWidth="1"/>
    <col min="23" max="23" width="11.09765625" style="2" hidden="1" customWidth="1"/>
    <col min="24" max="24" width="9" style="2" hidden="1" customWidth="1"/>
    <col min="25" max="25" width="8.5" style="2" hidden="1" customWidth="1"/>
    <col min="26" max="26" width="7.5" style="2" hidden="1" customWidth="1"/>
    <col min="27" max="27" width="13.3984375" style="2" customWidth="1"/>
    <col min="28" max="28" width="13.09765625" style="2" customWidth="1"/>
    <col min="29" max="29" width="11.5" style="2" customWidth="1"/>
    <col min="30" max="30" width="12.19921875" hidden="1" customWidth="1"/>
    <col min="31" max="31" width="17.5" hidden="1" customWidth="1"/>
    <col min="32" max="32" width="16.3984375" hidden="1" customWidth="1"/>
    <col min="33" max="34" width="11.09765625" hidden="1" customWidth="1"/>
    <col min="35" max="35" width="11.8984375" hidden="1" customWidth="1"/>
    <col min="36" max="36" width="13.69921875" hidden="1" customWidth="1"/>
    <col min="37" max="37" width="11.8984375" hidden="1" customWidth="1"/>
    <col min="38" max="38" width="0" hidden="1" customWidth="1"/>
    <col min="39" max="39" width="13.3984375" hidden="1" customWidth="1"/>
    <col min="40" max="40" width="0" hidden="1" customWidth="1"/>
    <col min="41" max="41" width="11.8984375" hidden="1" customWidth="1"/>
    <col min="42" max="42" width="14.19921875" hidden="1" customWidth="1"/>
    <col min="43" max="43" width="10.69921875" hidden="1" customWidth="1"/>
    <col min="44" max="44" width="11.69921875" hidden="1" customWidth="1"/>
    <col min="45" max="45" width="10.19921875" hidden="1" customWidth="1"/>
    <col min="46" max="46" width="0" hidden="1" customWidth="1"/>
  </cols>
  <sheetData>
    <row r="1" spans="1:45" x14ac:dyDescent="0.3">
      <c r="A1" s="56"/>
      <c r="AC1" s="96" t="s">
        <v>240</v>
      </c>
      <c r="AK1" s="21">
        <f>+AJ14+AJ15</f>
        <v>1356541</v>
      </c>
      <c r="AM1" s="21">
        <f>+AC7-AK20</f>
        <v>-2.953634544974193E-2</v>
      </c>
      <c r="AO1" s="21">
        <f>+AA7/AI18*100</f>
        <v>108.96977035516559</v>
      </c>
    </row>
    <row r="2" spans="1:45" x14ac:dyDescent="0.3">
      <c r="A2" s="505" t="s">
        <v>389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21" t="e">
        <f>+#REF!+AD4</f>
        <v>#REF!</v>
      </c>
      <c r="AE2" s="21" t="e">
        <f>+AE3/M7*100</f>
        <v>#REF!</v>
      </c>
      <c r="AK2" s="21">
        <f>2%*AK1</f>
        <v>27130.82</v>
      </c>
    </row>
    <row r="3" spans="1:45" ht="16.2" x14ac:dyDescent="0.35">
      <c r="A3" s="506" t="s">
        <v>601</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136">
        <v>708097</v>
      </c>
      <c r="AE3" s="21" t="e">
        <f>+#REF!/AD3*100</f>
        <v>#REF!</v>
      </c>
      <c r="AJ3" s="21">
        <f>+AB7+CD!C33</f>
        <v>1562386.436138598</v>
      </c>
      <c r="AP3" s="21">
        <f>+AK20-AC7</f>
        <v>2.953634544974193E-2</v>
      </c>
      <c r="AQ3" s="21">
        <f>+AC13+AC32</f>
        <v>123511.97046365458</v>
      </c>
    </row>
    <row r="4" spans="1:45" x14ac:dyDescent="0.3">
      <c r="J4" s="137"/>
      <c r="K4" s="137"/>
      <c r="L4" s="137"/>
      <c r="M4" s="137"/>
      <c r="N4" s="137"/>
      <c r="X4" s="137"/>
      <c r="Y4" s="137"/>
      <c r="Z4" s="137"/>
      <c r="AA4" s="137"/>
      <c r="AB4" s="507" t="s">
        <v>149</v>
      </c>
      <c r="AC4" s="507"/>
      <c r="AD4">
        <v>654</v>
      </c>
      <c r="AE4" s="21" t="e">
        <f>+AE3/D7*100</f>
        <v>#REF!</v>
      </c>
      <c r="AK4" s="21">
        <f>2%*AJ18</f>
        <v>27975.3</v>
      </c>
    </row>
    <row r="5" spans="1:45" ht="33" customHeight="1" x14ac:dyDescent="0.3">
      <c r="A5" s="508" t="s">
        <v>1</v>
      </c>
      <c r="B5" s="508" t="s">
        <v>2</v>
      </c>
      <c r="C5" s="508" t="s">
        <v>43</v>
      </c>
      <c r="D5" s="510" t="s">
        <v>194</v>
      </c>
      <c r="E5" s="510"/>
      <c r="F5" s="510"/>
      <c r="G5" s="510" t="s">
        <v>44</v>
      </c>
      <c r="H5" s="510"/>
      <c r="I5" s="510"/>
      <c r="J5" s="510" t="s">
        <v>45</v>
      </c>
      <c r="K5" s="510"/>
      <c r="L5" s="510"/>
      <c r="M5" s="510" t="s">
        <v>195</v>
      </c>
      <c r="N5" s="510"/>
      <c r="O5" s="510"/>
      <c r="P5" s="510" t="s">
        <v>46</v>
      </c>
      <c r="Q5" s="510"/>
      <c r="R5" s="510" t="s">
        <v>182</v>
      </c>
      <c r="S5" s="510"/>
      <c r="T5" s="510"/>
      <c r="U5" s="510" t="s">
        <v>44</v>
      </c>
      <c r="V5" s="510"/>
      <c r="W5" s="510"/>
      <c r="X5" s="510" t="s">
        <v>45</v>
      </c>
      <c r="Y5" s="510"/>
      <c r="Z5" s="510"/>
      <c r="AA5" s="511" t="s">
        <v>390</v>
      </c>
      <c r="AB5" s="503" t="s">
        <v>378</v>
      </c>
      <c r="AC5" s="504"/>
      <c r="AD5">
        <v>254</v>
      </c>
      <c r="AE5">
        <v>471350</v>
      </c>
      <c r="AJ5" s="21">
        <f>+AJ18-AJ6</f>
        <v>7</v>
      </c>
      <c r="AM5">
        <v>30813</v>
      </c>
      <c r="AO5" s="21">
        <f>+AI18-AJ18-AK18</f>
        <v>0</v>
      </c>
      <c r="AQ5">
        <v>273512</v>
      </c>
    </row>
    <row r="6" spans="1:45" ht="23.25" customHeight="1" x14ac:dyDescent="0.3">
      <c r="A6" s="509"/>
      <c r="B6" s="509"/>
      <c r="C6" s="509"/>
      <c r="D6" s="231" t="s">
        <v>47</v>
      </c>
      <c r="E6" s="231" t="s">
        <v>10</v>
      </c>
      <c r="F6" s="231" t="s">
        <v>11</v>
      </c>
      <c r="G6" s="231" t="s">
        <v>47</v>
      </c>
      <c r="H6" s="231" t="s">
        <v>10</v>
      </c>
      <c r="I6" s="231" t="s">
        <v>11</v>
      </c>
      <c r="J6" s="231" t="s">
        <v>47</v>
      </c>
      <c r="K6" s="231" t="s">
        <v>10</v>
      </c>
      <c r="L6" s="231" t="s">
        <v>11</v>
      </c>
      <c r="M6" s="231" t="s">
        <v>47</v>
      </c>
      <c r="N6" s="231" t="s">
        <v>10</v>
      </c>
      <c r="O6" s="231" t="s">
        <v>11</v>
      </c>
      <c r="P6" s="231" t="s">
        <v>48</v>
      </c>
      <c r="Q6" s="231" t="s">
        <v>49</v>
      </c>
      <c r="R6" s="231" t="s">
        <v>47</v>
      </c>
      <c r="S6" s="231" t="s">
        <v>10</v>
      </c>
      <c r="T6" s="231" t="s">
        <v>11</v>
      </c>
      <c r="U6" s="231" t="s">
        <v>47</v>
      </c>
      <c r="V6" s="231" t="s">
        <v>10</v>
      </c>
      <c r="W6" s="231" t="s">
        <v>11</v>
      </c>
      <c r="X6" s="231" t="s">
        <v>47</v>
      </c>
      <c r="Y6" s="231" t="s">
        <v>10</v>
      </c>
      <c r="Z6" s="231" t="s">
        <v>11</v>
      </c>
      <c r="AA6" s="512"/>
      <c r="AB6" s="34" t="s">
        <v>10</v>
      </c>
      <c r="AC6" s="34" t="s">
        <v>11</v>
      </c>
      <c r="AD6" s="21" t="e">
        <f>+#REF!+AD4</f>
        <v>#REF!</v>
      </c>
      <c r="AE6" s="21" t="e">
        <f>+AE5/#REF!*100</f>
        <v>#REF!</v>
      </c>
      <c r="AI6" s="21"/>
      <c r="AJ6">
        <v>1398758</v>
      </c>
      <c r="AM6">
        <v>23716</v>
      </c>
      <c r="AQ6" s="21">
        <f>+AK18-AQ5</f>
        <v>0</v>
      </c>
    </row>
    <row r="7" spans="1:45" s="12" customFormat="1" ht="21" customHeight="1" x14ac:dyDescent="0.3">
      <c r="A7" s="13" t="s">
        <v>51</v>
      </c>
      <c r="B7" s="14" t="s">
        <v>52</v>
      </c>
      <c r="C7" s="15">
        <v>2301076</v>
      </c>
      <c r="D7" s="15">
        <v>1808061</v>
      </c>
      <c r="E7" s="15">
        <v>1542866</v>
      </c>
      <c r="F7" s="15">
        <v>265194</v>
      </c>
      <c r="G7" s="15" t="e">
        <v>#REF!</v>
      </c>
      <c r="H7" s="15" t="e">
        <v>#REF!</v>
      </c>
      <c r="I7" s="15">
        <v>307763.57295157074</v>
      </c>
      <c r="J7" s="15" t="e">
        <v>#REF!</v>
      </c>
      <c r="K7" s="15" t="e">
        <v>#REF!</v>
      </c>
      <c r="L7" s="15">
        <v>957.59999999999991</v>
      </c>
      <c r="M7" s="15" t="e">
        <v>#REF!</v>
      </c>
      <c r="N7" s="15" t="e">
        <v>#REF!</v>
      </c>
      <c r="O7" s="15">
        <v>306805.9729515707</v>
      </c>
      <c r="P7" s="141" t="e">
        <v>#REF!</v>
      </c>
      <c r="Q7" s="141" t="e">
        <v>#REF!</v>
      </c>
      <c r="R7" s="15">
        <v>1348904.5</v>
      </c>
      <c r="S7" s="15">
        <v>1154968.5</v>
      </c>
      <c r="T7" s="15">
        <v>193936</v>
      </c>
      <c r="U7" s="15" t="e">
        <v>#REF!</v>
      </c>
      <c r="V7" s="15" t="e">
        <v>#REF!</v>
      </c>
      <c r="W7" s="15">
        <v>276349.79619000002</v>
      </c>
      <c r="X7" s="15" t="e">
        <v>#REF!</v>
      </c>
      <c r="Y7" s="15" t="e">
        <v>#REF!</v>
      </c>
      <c r="Z7" s="15">
        <v>957.59999999999991</v>
      </c>
      <c r="AA7" s="15">
        <v>1822276.4066022525</v>
      </c>
      <c r="AB7" s="78">
        <v>1518764.436138598</v>
      </c>
      <c r="AC7" s="78">
        <v>303511.97046365455</v>
      </c>
      <c r="AD7" s="11">
        <v>160995</v>
      </c>
      <c r="AE7" s="11" t="e">
        <f>+AE10+#REF!+#REF!</f>
        <v>#REF!</v>
      </c>
      <c r="AI7" s="11"/>
      <c r="AM7" s="12">
        <v>531253</v>
      </c>
    </row>
    <row r="8" spans="1:45" s="12" customFormat="1" ht="20.25" customHeight="1" x14ac:dyDescent="0.3">
      <c r="A8" s="13" t="s">
        <v>13</v>
      </c>
      <c r="B8" s="14" t="s">
        <v>53</v>
      </c>
      <c r="C8" s="15">
        <v>1349686</v>
      </c>
      <c r="D8" s="15">
        <v>1150000</v>
      </c>
      <c r="E8" s="15">
        <v>980000</v>
      </c>
      <c r="F8" s="15">
        <v>170000</v>
      </c>
      <c r="G8" s="15">
        <v>1414000</v>
      </c>
      <c r="H8" s="15">
        <v>1212000</v>
      </c>
      <c r="I8" s="15">
        <v>202000</v>
      </c>
      <c r="J8" s="15">
        <v>0</v>
      </c>
      <c r="K8" s="15">
        <v>0</v>
      </c>
      <c r="L8" s="15">
        <v>0</v>
      </c>
      <c r="M8" s="15">
        <v>1414000</v>
      </c>
      <c r="N8" s="15">
        <v>1212000</v>
      </c>
      <c r="O8" s="15">
        <v>202000</v>
      </c>
      <c r="P8" s="141">
        <v>104.7651083289002</v>
      </c>
      <c r="Q8" s="141">
        <v>122.95652173913044</v>
      </c>
      <c r="R8" s="15">
        <v>700000</v>
      </c>
      <c r="S8" s="15">
        <v>600000</v>
      </c>
      <c r="T8" s="15">
        <v>100000</v>
      </c>
      <c r="U8" s="15">
        <v>1414000</v>
      </c>
      <c r="V8" s="15">
        <v>1212000</v>
      </c>
      <c r="W8" s="15">
        <v>202000</v>
      </c>
      <c r="X8" s="15">
        <v>0</v>
      </c>
      <c r="Y8" s="15">
        <v>0</v>
      </c>
      <c r="Z8" s="15">
        <v>0</v>
      </c>
      <c r="AA8" s="15">
        <v>1080000</v>
      </c>
      <c r="AB8" s="15">
        <v>900000</v>
      </c>
      <c r="AC8" s="15">
        <v>180000</v>
      </c>
      <c r="AD8" s="11" t="e">
        <f>+AD7-#REF!</f>
        <v>#REF!</v>
      </c>
      <c r="AE8" s="64">
        <v>141283</v>
      </c>
      <c r="AI8" s="11"/>
      <c r="AM8" s="12">
        <f>SUM(AM5:AM7)</f>
        <v>585782</v>
      </c>
      <c r="AN8" s="11">
        <f>+AJ15+AJ16</f>
        <v>604257</v>
      </c>
      <c r="AO8" s="12">
        <f>+AM7+AM6</f>
        <v>554969</v>
      </c>
      <c r="AP8" s="11">
        <f>+AN8-AO8</f>
        <v>49288</v>
      </c>
    </row>
    <row r="9" spans="1:45" ht="26.25" hidden="1" customHeight="1" x14ac:dyDescent="0.3">
      <c r="A9" s="17">
        <v>1</v>
      </c>
      <c r="B9" s="18" t="s">
        <v>319</v>
      </c>
      <c r="C9" s="20"/>
      <c r="D9" s="20"/>
      <c r="E9" s="20"/>
      <c r="F9" s="20"/>
      <c r="G9" s="20">
        <v>1413000</v>
      </c>
      <c r="H9" s="20">
        <v>1211000</v>
      </c>
      <c r="I9" s="20">
        <v>202000</v>
      </c>
      <c r="J9" s="20"/>
      <c r="K9" s="20"/>
      <c r="L9" s="20"/>
      <c r="M9" s="20">
        <v>1413000</v>
      </c>
      <c r="N9" s="20">
        <v>1211000</v>
      </c>
      <c r="O9" s="20">
        <v>202000</v>
      </c>
      <c r="P9" s="142"/>
      <c r="Q9" s="142"/>
      <c r="R9" s="20"/>
      <c r="S9" s="20"/>
      <c r="T9" s="20"/>
      <c r="U9" s="20">
        <v>1413000</v>
      </c>
      <c r="V9" s="20">
        <v>1211000</v>
      </c>
      <c r="W9" s="20">
        <v>202000</v>
      </c>
      <c r="X9" s="20"/>
      <c r="Y9" s="20"/>
      <c r="Z9" s="20"/>
      <c r="AA9" s="20">
        <v>1048200</v>
      </c>
      <c r="AB9" s="20">
        <v>885000</v>
      </c>
      <c r="AC9" s="20">
        <v>163200</v>
      </c>
      <c r="AD9" s="11"/>
      <c r="AE9" s="21" t="e">
        <f>+#REF!-AE7+AE8</f>
        <v>#REF!</v>
      </c>
    </row>
    <row r="10" spans="1:45" ht="23.25" hidden="1" customHeight="1" x14ac:dyDescent="0.3">
      <c r="A10" s="17">
        <v>2</v>
      </c>
      <c r="B10" s="143" t="s">
        <v>54</v>
      </c>
      <c r="C10" s="20"/>
      <c r="D10" s="20"/>
      <c r="E10" s="20"/>
      <c r="F10" s="144"/>
      <c r="G10" s="20">
        <v>1000</v>
      </c>
      <c r="H10" s="20">
        <v>1000</v>
      </c>
      <c r="I10" s="20"/>
      <c r="J10" s="20"/>
      <c r="K10" s="20"/>
      <c r="L10" s="20"/>
      <c r="M10" s="20">
        <v>1000</v>
      </c>
      <c r="N10" s="20">
        <v>1000</v>
      </c>
      <c r="O10" s="20">
        <v>0</v>
      </c>
      <c r="P10" s="142"/>
      <c r="Q10" s="142"/>
      <c r="R10" s="20"/>
      <c r="S10" s="20"/>
      <c r="T10" s="144"/>
      <c r="U10" s="20">
        <v>1000</v>
      </c>
      <c r="V10" s="20">
        <v>1000</v>
      </c>
      <c r="W10" s="20"/>
      <c r="X10" s="20"/>
      <c r="Y10" s="20"/>
      <c r="Z10" s="20"/>
      <c r="AA10" s="20">
        <v>0</v>
      </c>
      <c r="AB10" s="20"/>
      <c r="AC10" s="20"/>
      <c r="AD10" s="90">
        <v>220517</v>
      </c>
      <c r="AE10" s="28">
        <v>31439</v>
      </c>
      <c r="AI10" s="21"/>
    </row>
    <row r="11" spans="1:45" ht="71.25" hidden="1" customHeight="1" x14ac:dyDescent="0.3">
      <c r="A11" s="17">
        <v>3</v>
      </c>
      <c r="B11" s="143" t="s">
        <v>318</v>
      </c>
      <c r="C11" s="20"/>
      <c r="D11" s="20"/>
      <c r="E11" s="20"/>
      <c r="F11" s="144"/>
      <c r="G11" s="20"/>
      <c r="H11" s="20"/>
      <c r="I11" s="20"/>
      <c r="J11" s="20"/>
      <c r="K11" s="20"/>
      <c r="L11" s="20"/>
      <c r="M11" s="20"/>
      <c r="N11" s="20"/>
      <c r="O11" s="20"/>
      <c r="P11" s="142"/>
      <c r="Q11" s="142"/>
      <c r="R11" s="20"/>
      <c r="S11" s="20"/>
      <c r="T11" s="144"/>
      <c r="U11" s="20"/>
      <c r="V11" s="20"/>
      <c r="W11" s="20"/>
      <c r="X11" s="20"/>
      <c r="Y11" s="20"/>
      <c r="Z11" s="20"/>
      <c r="AA11" s="20"/>
      <c r="AB11" s="20">
        <v>15000</v>
      </c>
      <c r="AC11" s="20">
        <v>15000</v>
      </c>
      <c r="AD11" s="90"/>
      <c r="AE11" s="28"/>
      <c r="AI11" s="21"/>
    </row>
    <row r="12" spans="1:45" ht="23.25" hidden="1" customHeight="1" x14ac:dyDescent="0.3">
      <c r="A12" s="17">
        <v>4</v>
      </c>
      <c r="B12" s="143" t="s">
        <v>159</v>
      </c>
      <c r="C12" s="20"/>
      <c r="D12" s="20"/>
      <c r="E12" s="20"/>
      <c r="F12" s="144"/>
      <c r="G12" s="20"/>
      <c r="H12" s="20"/>
      <c r="I12" s="20"/>
      <c r="J12" s="20"/>
      <c r="K12" s="20"/>
      <c r="L12" s="20"/>
      <c r="M12" s="20"/>
      <c r="N12" s="20"/>
      <c r="O12" s="20"/>
      <c r="P12" s="142"/>
      <c r="Q12" s="142"/>
      <c r="R12" s="20"/>
      <c r="S12" s="20"/>
      <c r="T12" s="144"/>
      <c r="U12" s="20"/>
      <c r="V12" s="20"/>
      <c r="W12" s="20"/>
      <c r="X12" s="20"/>
      <c r="Y12" s="20"/>
      <c r="Z12" s="20"/>
      <c r="AA12" s="20"/>
      <c r="AB12" s="20"/>
      <c r="AC12" s="20">
        <v>6800</v>
      </c>
      <c r="AD12" s="90"/>
      <c r="AE12" s="28"/>
      <c r="AI12" s="21"/>
    </row>
    <row r="13" spans="1:45" s="12" customFormat="1" ht="20.25" customHeight="1" x14ac:dyDescent="0.3">
      <c r="A13" s="13" t="s">
        <v>39</v>
      </c>
      <c r="B13" s="14" t="s">
        <v>55</v>
      </c>
      <c r="C13" s="15">
        <v>798383</v>
      </c>
      <c r="D13" s="15">
        <v>621737</v>
      </c>
      <c r="E13" s="15">
        <v>531937</v>
      </c>
      <c r="F13" s="15">
        <v>89799</v>
      </c>
      <c r="G13" s="15" t="e">
        <v>#REF!</v>
      </c>
      <c r="H13" s="15" t="e">
        <v>#REF!</v>
      </c>
      <c r="I13" s="15">
        <v>100301.49804911499</v>
      </c>
      <c r="J13" s="15" t="e">
        <v>#REF!</v>
      </c>
      <c r="K13" s="15" t="e">
        <v>#REF!</v>
      </c>
      <c r="L13" s="15">
        <v>957.59999999999991</v>
      </c>
      <c r="M13" s="15" t="e">
        <v>#REF!</v>
      </c>
      <c r="N13" s="15" t="e">
        <v>#REF!</v>
      </c>
      <c r="O13" s="15">
        <v>99343.898049114985</v>
      </c>
      <c r="P13" s="141" t="e">
        <v>#REF!</v>
      </c>
      <c r="Q13" s="141" t="e">
        <v>#REF!</v>
      </c>
      <c r="R13" s="15">
        <v>621163.5</v>
      </c>
      <c r="S13" s="15">
        <v>531252.5</v>
      </c>
      <c r="T13" s="15">
        <v>89911</v>
      </c>
      <c r="U13" s="15" t="e">
        <v>#REF!</v>
      </c>
      <c r="V13" s="15" t="e">
        <v>#REF!</v>
      </c>
      <c r="W13" s="15">
        <v>74349.796190000008</v>
      </c>
      <c r="X13" s="15" t="e">
        <v>#REF!</v>
      </c>
      <c r="Y13" s="15" t="e">
        <v>#REF!</v>
      </c>
      <c r="Z13" s="15">
        <v>957.59999999999991</v>
      </c>
      <c r="AA13" s="15">
        <v>706174.72505148465</v>
      </c>
      <c r="AB13" s="15">
        <v>588389.1474158261</v>
      </c>
      <c r="AC13" s="15">
        <v>117785.57763565858</v>
      </c>
      <c r="AD13" s="2">
        <v>654</v>
      </c>
      <c r="AE13" s="21">
        <v>269</v>
      </c>
      <c r="AJ13" s="11" t="s">
        <v>415</v>
      </c>
      <c r="AK13" s="12" t="s">
        <v>416</v>
      </c>
      <c r="AM13" s="11">
        <f>+AJ15+AJ16+AJ17</f>
        <v>618765</v>
      </c>
    </row>
    <row r="14" spans="1:45" ht="21.75" customHeight="1" x14ac:dyDescent="0.3">
      <c r="A14" s="17">
        <v>1</v>
      </c>
      <c r="B14" s="18" t="s">
        <v>56</v>
      </c>
      <c r="C14" s="20">
        <v>115653</v>
      </c>
      <c r="D14" s="20"/>
      <c r="E14" s="20"/>
      <c r="F14" s="20"/>
      <c r="G14" s="20" t="e">
        <v>#REF!</v>
      </c>
      <c r="H14" s="20" t="e">
        <v>#REF!</v>
      </c>
      <c r="I14" s="20">
        <v>74349.796190000008</v>
      </c>
      <c r="J14" s="20" t="e">
        <v>#REF!</v>
      </c>
      <c r="K14" s="20" t="e">
        <v>#REF!</v>
      </c>
      <c r="L14" s="20">
        <v>957.59999999999991</v>
      </c>
      <c r="M14" s="20" t="e">
        <v>#REF!</v>
      </c>
      <c r="N14" s="20" t="e">
        <v>#REF!</v>
      </c>
      <c r="O14" s="20">
        <v>73392.196190000002</v>
      </c>
      <c r="P14" s="142" t="e">
        <v>#REF!</v>
      </c>
      <c r="Q14" s="18"/>
      <c r="R14" s="20"/>
      <c r="S14" s="20"/>
      <c r="T14" s="20"/>
      <c r="U14" s="20" t="e">
        <v>#REF!</v>
      </c>
      <c r="V14" s="20" t="e">
        <v>#REF!</v>
      </c>
      <c r="W14" s="20">
        <v>74349.796190000008</v>
      </c>
      <c r="X14" s="20" t="e">
        <v>#REF!</v>
      </c>
      <c r="Y14" s="20" t="e">
        <v>#REF!</v>
      </c>
      <c r="Z14" s="20">
        <v>957.59999999999991</v>
      </c>
      <c r="AA14" s="20">
        <v>126222.13467200001</v>
      </c>
      <c r="AB14" s="20">
        <v>41197.610972000002</v>
      </c>
      <c r="AC14" s="20">
        <v>85024.523700000005</v>
      </c>
      <c r="AD14" s="2" t="e">
        <f>+#REF!+AD13</f>
        <v>#REF!</v>
      </c>
      <c r="AH14" s="318" t="s">
        <v>412</v>
      </c>
      <c r="AI14" s="319">
        <f>900000*0.7+600000*0.5</f>
        <v>930000</v>
      </c>
      <c r="AJ14" s="164">
        <f>900000*0.6+600000*0.4</f>
        <v>780000</v>
      </c>
      <c r="AK14" s="164">
        <v>150000</v>
      </c>
      <c r="AL14">
        <v>1728904</v>
      </c>
      <c r="AM14" s="21">
        <f>+AM13-AM8</f>
        <v>32983</v>
      </c>
    </row>
    <row r="15" spans="1:45" ht="20.100000000000001" customHeight="1" x14ac:dyDescent="0.3">
      <c r="A15" s="17">
        <v>2</v>
      </c>
      <c r="B15" s="18" t="s">
        <v>65</v>
      </c>
      <c r="C15" s="20">
        <v>12751</v>
      </c>
      <c r="D15" s="20"/>
      <c r="E15" s="20"/>
      <c r="F15" s="20"/>
      <c r="G15" s="20">
        <v>10831.642839</v>
      </c>
      <c r="H15" s="20">
        <v>8113</v>
      </c>
      <c r="I15" s="20">
        <v>2718.6428390000005</v>
      </c>
      <c r="J15" s="20">
        <v>50</v>
      </c>
      <c r="K15" s="20">
        <v>50</v>
      </c>
      <c r="L15" s="20"/>
      <c r="M15" s="20">
        <v>10781.642839</v>
      </c>
      <c r="N15" s="20">
        <v>8063</v>
      </c>
      <c r="O15" s="20">
        <v>2718.6428390000005</v>
      </c>
      <c r="P15" s="142">
        <v>84.947398941259507</v>
      </c>
      <c r="Q15" s="148"/>
      <c r="R15" s="20"/>
      <c r="S15" s="20"/>
      <c r="T15" s="20"/>
      <c r="U15" s="20">
        <v>8113</v>
      </c>
      <c r="V15" s="20">
        <v>8113</v>
      </c>
      <c r="W15" s="20">
        <v>0</v>
      </c>
      <c r="X15" s="20">
        <v>50</v>
      </c>
      <c r="Y15" s="20">
        <v>50</v>
      </c>
      <c r="Z15" s="20"/>
      <c r="AA15" s="20">
        <v>5670.3050399999993</v>
      </c>
      <c r="AB15" s="20">
        <v>3278</v>
      </c>
      <c r="AC15" s="20">
        <v>2392.3050399999997</v>
      </c>
      <c r="AD15" s="2"/>
      <c r="AF15" s="96">
        <f>692566-654</f>
        <v>691912</v>
      </c>
      <c r="AG15" s="96">
        <f>+AF15/5*6</f>
        <v>830294.39999999991</v>
      </c>
      <c r="AH15" s="164" t="s">
        <v>411</v>
      </c>
      <c r="AI15" s="164">
        <v>684731</v>
      </c>
      <c r="AJ15" s="164">
        <v>576541</v>
      </c>
      <c r="AK15" s="164">
        <f>34485+73705</f>
        <v>108190</v>
      </c>
      <c r="AL15" s="21">
        <f>+AI15-AJ15-AK15</f>
        <v>0</v>
      </c>
      <c r="AP15">
        <v>6827</v>
      </c>
    </row>
    <row r="16" spans="1:45" ht="20.100000000000001" customHeight="1" x14ac:dyDescent="0.3">
      <c r="A16" s="17">
        <v>3</v>
      </c>
      <c r="B16" s="18" t="s">
        <v>66</v>
      </c>
      <c r="C16" s="20">
        <v>4010</v>
      </c>
      <c r="D16" s="20"/>
      <c r="E16" s="20"/>
      <c r="F16" s="20"/>
      <c r="G16" s="20">
        <v>2012.6644399999998</v>
      </c>
      <c r="H16" s="20">
        <v>949</v>
      </c>
      <c r="I16" s="20">
        <v>1063.6644399999998</v>
      </c>
      <c r="J16" s="20">
        <v>47.45</v>
      </c>
      <c r="K16" s="20">
        <v>47.45</v>
      </c>
      <c r="L16" s="20"/>
      <c r="M16" s="20">
        <v>1965.2144399999997</v>
      </c>
      <c r="N16" s="20">
        <v>901.55</v>
      </c>
      <c r="O16" s="20">
        <v>1063.6644399999998</v>
      </c>
      <c r="P16" s="142">
        <v>50.191133167082292</v>
      </c>
      <c r="Q16" s="148"/>
      <c r="R16" s="20"/>
      <c r="S16" s="20"/>
      <c r="T16" s="20"/>
      <c r="U16" s="20">
        <v>949</v>
      </c>
      <c r="V16" s="20">
        <v>949</v>
      </c>
      <c r="W16" s="20">
        <v>0</v>
      </c>
      <c r="X16" s="20">
        <v>47.45</v>
      </c>
      <c r="Y16" s="20">
        <v>47.45</v>
      </c>
      <c r="Z16" s="20"/>
      <c r="AA16" s="20">
        <v>2190.6976</v>
      </c>
      <c r="AB16" s="20">
        <v>1187.3374399999998</v>
      </c>
      <c r="AC16" s="20">
        <v>1003.3601600000001</v>
      </c>
      <c r="AD16" s="2">
        <f>+AD10-AD13</f>
        <v>219863</v>
      </c>
      <c r="AE16" s="2">
        <f>+AE10-AE13</f>
        <v>31170</v>
      </c>
      <c r="AF16" s="96">
        <f>122269-40</f>
        <v>122229</v>
      </c>
      <c r="AG16" s="96">
        <f>+AF16/5*6</f>
        <v>146674.79999999999</v>
      </c>
      <c r="AH16" s="164" t="s">
        <v>413</v>
      </c>
      <c r="AI16" s="164">
        <v>33901</v>
      </c>
      <c r="AJ16" s="164">
        <v>27716</v>
      </c>
      <c r="AK16" s="164">
        <v>6185</v>
      </c>
      <c r="AP16">
        <v>1288</v>
      </c>
      <c r="AR16" t="s">
        <v>412</v>
      </c>
      <c r="AS16" s="21">
        <f>+AC8</f>
        <v>180000</v>
      </c>
    </row>
    <row r="17" spans="1:45" ht="20.100000000000001" customHeight="1" x14ac:dyDescent="0.3">
      <c r="A17" s="17">
        <v>4</v>
      </c>
      <c r="B17" s="18" t="s">
        <v>67</v>
      </c>
      <c r="C17" s="20">
        <v>4551</v>
      </c>
      <c r="D17" s="20"/>
      <c r="E17" s="20"/>
      <c r="F17" s="20"/>
      <c r="G17" s="20">
        <v>5987.6469999999999</v>
      </c>
      <c r="H17" s="20">
        <v>4339</v>
      </c>
      <c r="I17" s="20">
        <v>1648.6470000000002</v>
      </c>
      <c r="J17" s="20"/>
      <c r="K17" s="20"/>
      <c r="L17" s="20"/>
      <c r="M17" s="20">
        <v>5987.6469999999999</v>
      </c>
      <c r="N17" s="20">
        <v>4339</v>
      </c>
      <c r="O17" s="20">
        <v>1648.6470000000002</v>
      </c>
      <c r="P17" s="142">
        <v>131.56772137991649</v>
      </c>
      <c r="Q17" s="148"/>
      <c r="R17" s="20"/>
      <c r="S17" s="20"/>
      <c r="T17" s="20"/>
      <c r="U17" s="20">
        <v>4339</v>
      </c>
      <c r="V17" s="20">
        <v>4339</v>
      </c>
      <c r="W17" s="20">
        <v>0</v>
      </c>
      <c r="X17" s="20"/>
      <c r="Y17" s="20"/>
      <c r="Z17" s="20"/>
      <c r="AA17" s="20">
        <v>6636.7569999999996</v>
      </c>
      <c r="AB17" s="20">
        <v>4050</v>
      </c>
      <c r="AC17" s="20">
        <v>2586.7570000000001</v>
      </c>
      <c r="AD17" s="21"/>
      <c r="AE17" s="21"/>
      <c r="AF17" s="96">
        <f>+AF15+AF16</f>
        <v>814141</v>
      </c>
      <c r="AH17" s="318" t="s">
        <v>414</v>
      </c>
      <c r="AI17" s="164">
        <v>23645</v>
      </c>
      <c r="AJ17" s="164">
        <v>14508</v>
      </c>
      <c r="AK17" s="164">
        <v>9137</v>
      </c>
      <c r="AP17">
        <v>762</v>
      </c>
      <c r="AR17" t="s">
        <v>521</v>
      </c>
      <c r="AS17" s="21">
        <f>+AK17</f>
        <v>9137</v>
      </c>
    </row>
    <row r="18" spans="1:45" ht="20.100000000000001" customHeight="1" x14ac:dyDescent="0.3">
      <c r="A18" s="17">
        <v>5</v>
      </c>
      <c r="B18" s="18" t="s">
        <v>68</v>
      </c>
      <c r="C18" s="20">
        <v>1649</v>
      </c>
      <c r="D18" s="20"/>
      <c r="E18" s="20"/>
      <c r="F18" s="20"/>
      <c r="G18" s="20">
        <v>2707</v>
      </c>
      <c r="H18" s="20">
        <v>1392</v>
      </c>
      <c r="I18" s="20">
        <v>1315</v>
      </c>
      <c r="J18" s="20"/>
      <c r="K18" s="20"/>
      <c r="L18" s="20"/>
      <c r="M18" s="20">
        <v>2707</v>
      </c>
      <c r="N18" s="20">
        <v>1392</v>
      </c>
      <c r="O18" s="20">
        <v>1315</v>
      </c>
      <c r="P18" s="142">
        <v>164.16009702850212</v>
      </c>
      <c r="Q18" s="148"/>
      <c r="R18" s="20"/>
      <c r="S18" s="20"/>
      <c r="T18" s="20"/>
      <c r="U18" s="20">
        <v>1392</v>
      </c>
      <c r="V18" s="20">
        <v>1392</v>
      </c>
      <c r="W18" s="20">
        <v>0</v>
      </c>
      <c r="X18" s="20"/>
      <c r="Y18" s="20"/>
      <c r="Z18" s="20"/>
      <c r="AA18" s="20">
        <v>3320</v>
      </c>
      <c r="AB18" s="20">
        <v>2005</v>
      </c>
      <c r="AC18" s="20">
        <v>1315</v>
      </c>
      <c r="AD18" s="21" t="e">
        <f>+AD16/#REF!*100</f>
        <v>#REF!</v>
      </c>
      <c r="AE18" s="21" t="e">
        <f>+AE16/#REF!*100</f>
        <v>#REF!</v>
      </c>
      <c r="AF18" s="96">
        <f>+AF17/5*6</f>
        <v>976969.20000000007</v>
      </c>
      <c r="AH18" s="318" t="s">
        <v>269</v>
      </c>
      <c r="AI18" s="164">
        <f>+AI14+AI15+AI16+AI17</f>
        <v>1672277</v>
      </c>
      <c r="AJ18" s="164">
        <f>+AJ14+AJ15+AJ16+AJ17</f>
        <v>1398765</v>
      </c>
      <c r="AK18" s="164">
        <f>+AK14+AK15+AK16+AK17</f>
        <v>273512</v>
      </c>
      <c r="AM18" s="96">
        <f>+AJ18*2%</f>
        <v>27975.3</v>
      </c>
      <c r="AP18">
        <v>1172</v>
      </c>
      <c r="AR18" t="s">
        <v>522</v>
      </c>
      <c r="AS18" s="21">
        <f>+AS19-AS16-AS17</f>
        <v>114374.97046365455</v>
      </c>
    </row>
    <row r="19" spans="1:45" ht="20.100000000000001" customHeight="1" x14ac:dyDescent="0.3">
      <c r="A19" s="17">
        <v>6</v>
      </c>
      <c r="B19" s="18" t="s">
        <v>69</v>
      </c>
      <c r="C19" s="20">
        <v>1683</v>
      </c>
      <c r="D19" s="20"/>
      <c r="E19" s="20"/>
      <c r="F19" s="20"/>
      <c r="G19" s="20">
        <v>3209.3920399999997</v>
      </c>
      <c r="H19" s="20">
        <v>2037</v>
      </c>
      <c r="I19" s="20">
        <v>1172.39204</v>
      </c>
      <c r="J19" s="20"/>
      <c r="K19" s="20"/>
      <c r="L19" s="20"/>
      <c r="M19" s="20">
        <v>3209.3920399999997</v>
      </c>
      <c r="N19" s="20">
        <v>2037</v>
      </c>
      <c r="O19" s="20">
        <v>1172.39204</v>
      </c>
      <c r="P19" s="142">
        <v>190.69471420083184</v>
      </c>
      <c r="Q19" s="148"/>
      <c r="R19" s="20"/>
      <c r="S19" s="20"/>
      <c r="T19" s="20"/>
      <c r="U19" s="20">
        <v>2037</v>
      </c>
      <c r="V19" s="20">
        <v>2037</v>
      </c>
      <c r="W19" s="20">
        <v>0</v>
      </c>
      <c r="X19" s="20"/>
      <c r="Y19" s="20"/>
      <c r="Z19" s="20"/>
      <c r="AA19" s="20">
        <v>1890.6484599999999</v>
      </c>
      <c r="AB19" s="20">
        <v>1289</v>
      </c>
      <c r="AC19" s="20">
        <v>601.64845999999989</v>
      </c>
      <c r="AD19" s="21" t="e">
        <f>+#REF!+304</f>
        <v>#REF!</v>
      </c>
      <c r="AF19" s="96" t="e">
        <f>+AF18/M7*100</f>
        <v>#REF!</v>
      </c>
      <c r="AJ19" s="96">
        <v>120000</v>
      </c>
      <c r="AK19" s="96">
        <v>30000</v>
      </c>
      <c r="AM19" s="96">
        <f>+AJ16/2%</f>
        <v>1385800</v>
      </c>
      <c r="AP19">
        <v>3057</v>
      </c>
      <c r="AR19" t="s">
        <v>269</v>
      </c>
      <c r="AS19" s="21">
        <f>+AC7</f>
        <v>303511.97046365455</v>
      </c>
    </row>
    <row r="20" spans="1:45" ht="20.100000000000001" customHeight="1" x14ac:dyDescent="0.3">
      <c r="A20" s="17">
        <v>7</v>
      </c>
      <c r="B20" s="18" t="s">
        <v>70</v>
      </c>
      <c r="C20" s="20"/>
      <c r="D20" s="20"/>
      <c r="E20" s="20"/>
      <c r="F20" s="20"/>
      <c r="G20" s="20">
        <v>22074</v>
      </c>
      <c r="H20" s="20">
        <v>22074</v>
      </c>
      <c r="I20" s="20"/>
      <c r="J20" s="20"/>
      <c r="K20" s="20"/>
      <c r="L20" s="20"/>
      <c r="M20" s="20">
        <v>22074</v>
      </c>
      <c r="N20" s="20">
        <v>22074</v>
      </c>
      <c r="O20" s="20">
        <v>0</v>
      </c>
      <c r="P20" s="142"/>
      <c r="Q20" s="148"/>
      <c r="R20" s="20"/>
      <c r="S20" s="20"/>
      <c r="T20" s="20"/>
      <c r="U20" s="20">
        <v>22074</v>
      </c>
      <c r="V20" s="20">
        <v>22074</v>
      </c>
      <c r="W20" s="20"/>
      <c r="X20" s="20"/>
      <c r="Y20" s="20"/>
      <c r="Z20" s="20"/>
      <c r="AA20" s="20">
        <v>13627</v>
      </c>
      <c r="AB20" s="20">
        <v>13627</v>
      </c>
      <c r="AC20" s="20">
        <v>0</v>
      </c>
      <c r="AE20" s="21"/>
      <c r="AI20" s="21">
        <f>+AJ20+AK20</f>
        <v>1822277</v>
      </c>
      <c r="AJ20" s="21">
        <f>+AJ18+AJ19</f>
        <v>1518765</v>
      </c>
      <c r="AK20" s="21">
        <f>+AK18+AK19</f>
        <v>303512</v>
      </c>
      <c r="AM20" s="21">
        <f>+AM19-AJ18</f>
        <v>-12965</v>
      </c>
    </row>
    <row r="21" spans="1:45" s="82" customFormat="1" ht="20.100000000000001" hidden="1" customHeight="1" x14ac:dyDescent="0.3">
      <c r="A21" s="149"/>
      <c r="B21" s="150" t="s">
        <v>71</v>
      </c>
      <c r="C21" s="151"/>
      <c r="D21" s="151"/>
      <c r="E21" s="151"/>
      <c r="F21" s="151"/>
      <c r="G21" s="151">
        <v>12000</v>
      </c>
      <c r="H21" s="151">
        <v>12000</v>
      </c>
      <c r="I21" s="151"/>
      <c r="J21" s="151"/>
      <c r="K21" s="151"/>
      <c r="L21" s="151"/>
      <c r="M21" s="20">
        <v>12000</v>
      </c>
      <c r="N21" s="20">
        <v>12000</v>
      </c>
      <c r="O21" s="20">
        <v>0</v>
      </c>
      <c r="P21" s="152"/>
      <c r="Q21" s="150"/>
      <c r="R21" s="151"/>
      <c r="S21" s="151"/>
      <c r="T21" s="151"/>
      <c r="U21" s="151">
        <v>12000</v>
      </c>
      <c r="V21" s="151">
        <v>12000</v>
      </c>
      <c r="W21" s="151"/>
      <c r="X21" s="151"/>
      <c r="Y21" s="151"/>
      <c r="Z21" s="151"/>
      <c r="AA21" s="20">
        <v>0</v>
      </c>
      <c r="AB21" s="20"/>
      <c r="AC21" s="20">
        <v>0</v>
      </c>
      <c r="AE21" s="85">
        <v>629729</v>
      </c>
    </row>
    <row r="22" spans="1:45" ht="20.100000000000001" customHeight="1" x14ac:dyDescent="0.3">
      <c r="A22" s="17">
        <v>8</v>
      </c>
      <c r="B22" s="18" t="s">
        <v>202</v>
      </c>
      <c r="C22" s="20">
        <v>312321</v>
      </c>
      <c r="D22" s="20">
        <v>337724</v>
      </c>
      <c r="E22" s="21">
        <v>337724</v>
      </c>
      <c r="F22" s="20"/>
      <c r="G22" s="20">
        <v>337724</v>
      </c>
      <c r="H22" s="20">
        <v>337724</v>
      </c>
      <c r="I22" s="20"/>
      <c r="J22" s="20">
        <v>5798</v>
      </c>
      <c r="K22" s="20">
        <v>5798</v>
      </c>
      <c r="L22" s="20"/>
      <c r="M22" s="20">
        <v>332441</v>
      </c>
      <c r="N22" s="21">
        <v>332441</v>
      </c>
      <c r="O22" s="20">
        <v>0</v>
      </c>
      <c r="P22" s="142">
        <v>108.13361893692708</v>
      </c>
      <c r="Q22" s="142">
        <v>100</v>
      </c>
      <c r="R22" s="20"/>
      <c r="S22" s="21">
        <v>345759</v>
      </c>
      <c r="T22" s="20"/>
      <c r="U22" s="20">
        <v>345759</v>
      </c>
      <c r="V22" s="20">
        <v>345759</v>
      </c>
      <c r="W22" s="20"/>
      <c r="X22" s="20">
        <v>5798</v>
      </c>
      <c r="Y22" s="20">
        <v>5798</v>
      </c>
      <c r="Z22" s="20"/>
      <c r="AA22" s="20">
        <v>404121.32155162602</v>
      </c>
      <c r="AB22" s="21">
        <v>404121.32155162602</v>
      </c>
      <c r="AC22" s="20">
        <v>0</v>
      </c>
      <c r="AE22" s="21" t="e">
        <f>+AE21-#REF!</f>
        <v>#REF!</v>
      </c>
      <c r="AH22">
        <v>1728904</v>
      </c>
      <c r="AK22" s="21">
        <f>+AK15+AK16</f>
        <v>114375</v>
      </c>
      <c r="AO22" s="96">
        <v>900000</v>
      </c>
      <c r="AP22" s="96">
        <f>+AO22-AJ14</f>
        <v>120000</v>
      </c>
    </row>
    <row r="23" spans="1:45" ht="20.100000000000001" customHeight="1" x14ac:dyDescent="0.3">
      <c r="A23" s="17">
        <v>9</v>
      </c>
      <c r="B23" s="18" t="s">
        <v>72</v>
      </c>
      <c r="C23" s="20">
        <v>270551</v>
      </c>
      <c r="D23" s="20"/>
      <c r="E23" s="20"/>
      <c r="F23" s="20"/>
      <c r="G23" s="20">
        <v>68331.904599999994</v>
      </c>
      <c r="H23" s="20">
        <v>62449</v>
      </c>
      <c r="I23" s="20">
        <v>5882.9045999999998</v>
      </c>
      <c r="J23" s="20">
        <v>50</v>
      </c>
      <c r="K23" s="20">
        <v>50</v>
      </c>
      <c r="L23" s="20"/>
      <c r="M23" s="20">
        <v>68281.904599999994</v>
      </c>
      <c r="N23" s="20">
        <v>62399</v>
      </c>
      <c r="O23" s="20">
        <v>5882.9045999999998</v>
      </c>
      <c r="P23" s="142">
        <v>25.256570702011814</v>
      </c>
      <c r="Q23" s="148"/>
      <c r="R23" s="20"/>
      <c r="S23" s="20"/>
      <c r="T23" s="20"/>
      <c r="U23" s="20">
        <v>62449</v>
      </c>
      <c r="V23" s="20">
        <v>62449</v>
      </c>
      <c r="W23" s="20">
        <v>0</v>
      </c>
      <c r="X23" s="20">
        <v>50</v>
      </c>
      <c r="Y23" s="20">
        <v>50</v>
      </c>
      <c r="Z23" s="20"/>
      <c r="AA23" s="20">
        <v>59816.885399999999</v>
      </c>
      <c r="AB23" s="20">
        <v>53210</v>
      </c>
      <c r="AC23" s="20">
        <v>6606.8853999999992</v>
      </c>
      <c r="AD23" s="21"/>
      <c r="AE23">
        <v>95938</v>
      </c>
      <c r="AF23" s="21"/>
      <c r="AH23">
        <v>1531700</v>
      </c>
      <c r="AM23">
        <f>+AI16/2%</f>
        <v>1695050</v>
      </c>
    </row>
    <row r="24" spans="1:45" ht="20.100000000000001" customHeight="1" x14ac:dyDescent="0.3">
      <c r="A24" s="17">
        <v>10</v>
      </c>
      <c r="B24" s="18" t="s">
        <v>73</v>
      </c>
      <c r="C24" s="20">
        <v>56697</v>
      </c>
      <c r="D24" s="20"/>
      <c r="E24" s="20"/>
      <c r="F24" s="20"/>
      <c r="G24" s="20" t="e">
        <v>#REF!</v>
      </c>
      <c r="H24" s="20" t="e">
        <v>#REF!</v>
      </c>
      <c r="I24" s="20">
        <v>8605.8221140000005</v>
      </c>
      <c r="J24" s="20" t="e">
        <v>#REF!</v>
      </c>
      <c r="K24" s="20" t="e">
        <v>#REF!</v>
      </c>
      <c r="L24" s="20"/>
      <c r="M24" s="20" t="e">
        <v>#REF!</v>
      </c>
      <c r="N24" s="20" t="e">
        <v>#REF!</v>
      </c>
      <c r="O24" s="20">
        <v>8605.8221140000005</v>
      </c>
      <c r="P24" s="142" t="e">
        <v>#REF!</v>
      </c>
      <c r="Q24" s="148"/>
      <c r="R24" s="20"/>
      <c r="S24" s="20"/>
      <c r="T24" s="20"/>
      <c r="U24" s="20" t="e">
        <v>#REF!</v>
      </c>
      <c r="V24" s="20" t="e">
        <v>#REF!</v>
      </c>
      <c r="W24" s="20">
        <v>0</v>
      </c>
      <c r="X24" s="20" t="e">
        <v>#REF!</v>
      </c>
      <c r="Y24" s="20" t="e">
        <v>#REF!</v>
      </c>
      <c r="Z24" s="20"/>
      <c r="AA24" s="20">
        <v>44985.079652200002</v>
      </c>
      <c r="AB24" s="20">
        <v>39480.877452200002</v>
      </c>
      <c r="AC24" s="20">
        <v>5504.2021999999997</v>
      </c>
      <c r="AE24" s="21" t="e">
        <f>+AE23-#REF!</f>
        <v>#REF!</v>
      </c>
      <c r="AH24">
        <v>197204</v>
      </c>
      <c r="AJ24" s="320">
        <f>+AB14+AB15+AB16+AB17+AB18+AB19+AB20+AB22+AB23+AB24+AB25+AB26</f>
        <v>581680.1474158261</v>
      </c>
    </row>
    <row r="25" spans="1:45" ht="33.6" customHeight="1" x14ac:dyDescent="0.3">
      <c r="A25" s="17">
        <v>11</v>
      </c>
      <c r="B25" s="167" t="s">
        <v>594</v>
      </c>
      <c r="C25" s="20"/>
      <c r="D25" s="20"/>
      <c r="E25" s="20"/>
      <c r="F25" s="20"/>
      <c r="G25" s="20">
        <v>7969</v>
      </c>
      <c r="H25" s="20">
        <v>7969</v>
      </c>
      <c r="I25" s="20"/>
      <c r="J25" s="20">
        <v>0</v>
      </c>
      <c r="K25" s="20"/>
      <c r="L25" s="20"/>
      <c r="M25" s="20">
        <v>7969</v>
      </c>
      <c r="N25" s="20">
        <v>7969</v>
      </c>
      <c r="O25" s="20">
        <v>0</v>
      </c>
      <c r="P25" s="142"/>
      <c r="Q25" s="148"/>
      <c r="R25" s="20"/>
      <c r="S25" s="20"/>
      <c r="T25" s="20"/>
      <c r="U25" s="20">
        <v>7969</v>
      </c>
      <c r="V25" s="20">
        <v>7969</v>
      </c>
      <c r="W25" s="20"/>
      <c r="X25" s="20">
        <v>0</v>
      </c>
      <c r="Y25" s="20"/>
      <c r="Z25" s="20"/>
      <c r="AA25" s="20">
        <v>3734</v>
      </c>
      <c r="AB25" s="20">
        <v>3734</v>
      </c>
      <c r="AC25" s="20">
        <v>0</v>
      </c>
      <c r="AE25" s="21"/>
      <c r="AJ25" s="321">
        <f>+AB13+AB32</f>
        <v>618764.43613859802</v>
      </c>
      <c r="AK25" s="321">
        <f>+AC13+AC32</f>
        <v>123511.97046365458</v>
      </c>
      <c r="AP25">
        <v>900000</v>
      </c>
      <c r="AQ25">
        <f>+AP25*0.7</f>
        <v>630000</v>
      </c>
    </row>
    <row r="26" spans="1:45" ht="21" customHeight="1" x14ac:dyDescent="0.3">
      <c r="A26" s="17">
        <v>11</v>
      </c>
      <c r="B26" s="18" t="s">
        <v>203</v>
      </c>
      <c r="C26" s="20">
        <v>14278</v>
      </c>
      <c r="D26" s="20"/>
      <c r="E26" s="20"/>
      <c r="F26" s="20"/>
      <c r="G26" s="20">
        <v>7411.6959999999999</v>
      </c>
      <c r="H26" s="20">
        <v>4382</v>
      </c>
      <c r="I26" s="20">
        <v>3029.6959999999999</v>
      </c>
      <c r="J26" s="20">
        <v>0</v>
      </c>
      <c r="K26" s="20"/>
      <c r="L26" s="20"/>
      <c r="M26" s="20">
        <v>7411.6959999999999</v>
      </c>
      <c r="N26" s="20">
        <v>4382</v>
      </c>
      <c r="O26" s="20">
        <v>3029.6959999999999</v>
      </c>
      <c r="P26" s="142">
        <v>51.90990334780782</v>
      </c>
      <c r="Q26" s="148"/>
      <c r="R26" s="20"/>
      <c r="S26" s="20"/>
      <c r="T26" s="20"/>
      <c r="U26" s="20">
        <v>4382</v>
      </c>
      <c r="V26" s="20">
        <v>4382</v>
      </c>
      <c r="W26" s="20">
        <v>0</v>
      </c>
      <c r="X26" s="20">
        <v>0</v>
      </c>
      <c r="Y26" s="20"/>
      <c r="Z26" s="20"/>
      <c r="AA26" s="20">
        <v>15256.005999999999</v>
      </c>
      <c r="AB26" s="20">
        <v>14500</v>
      </c>
      <c r="AC26" s="20">
        <v>756.0060000000002</v>
      </c>
      <c r="AE26" s="21"/>
      <c r="AJ26" s="320">
        <f>+AJ15+AJ16+AJ17</f>
        <v>618765</v>
      </c>
      <c r="AK26" s="320">
        <f>+AK15+AK16+AK17</f>
        <v>123512</v>
      </c>
      <c r="AQ26" s="21">
        <f>+AA8-AQ25</f>
        <v>450000</v>
      </c>
    </row>
    <row r="27" spans="1:45" ht="21" customHeight="1" x14ac:dyDescent="0.3">
      <c r="A27" s="17">
        <v>12</v>
      </c>
      <c r="B27" s="18" t="s">
        <v>91</v>
      </c>
      <c r="C27" s="20">
        <v>3039</v>
      </c>
      <c r="D27" s="20"/>
      <c r="E27" s="20"/>
      <c r="F27" s="20"/>
      <c r="G27" s="20">
        <v>2922.9328261150004</v>
      </c>
      <c r="H27" s="20">
        <v>2408</v>
      </c>
      <c r="I27" s="20">
        <v>514.93282611500013</v>
      </c>
      <c r="J27" s="20">
        <v>0</v>
      </c>
      <c r="K27" s="20"/>
      <c r="L27" s="20"/>
      <c r="M27" s="20">
        <v>2922.9328261150004</v>
      </c>
      <c r="N27" s="20">
        <v>2408</v>
      </c>
      <c r="O27" s="20">
        <v>514.93282611500013</v>
      </c>
      <c r="P27" s="142">
        <v>96.180744525008237</v>
      </c>
      <c r="Q27" s="148"/>
      <c r="R27" s="20"/>
      <c r="S27" s="20"/>
      <c r="T27" s="20"/>
      <c r="U27" s="20">
        <v>2408</v>
      </c>
      <c r="V27" s="20">
        <v>2408</v>
      </c>
      <c r="W27" s="20">
        <v>0</v>
      </c>
      <c r="X27" s="20">
        <v>0</v>
      </c>
      <c r="Y27" s="20"/>
      <c r="Z27" s="20"/>
      <c r="AA27" s="20">
        <v>1537.9534398000001</v>
      </c>
      <c r="AB27" s="20">
        <v>1009</v>
      </c>
      <c r="AC27" s="20">
        <v>528.95343980000007</v>
      </c>
      <c r="AJ27" s="21">
        <f>+AJ25-AJ26</f>
        <v>-0.5638614019844681</v>
      </c>
      <c r="AK27" s="21">
        <f>+AK25-AK26</f>
        <v>-2.9536345420638099E-2</v>
      </c>
      <c r="AM27" s="21">
        <f>+AA32+AA13</f>
        <v>742276.40660225262</v>
      </c>
    </row>
    <row r="28" spans="1:45" ht="24.75" customHeight="1" x14ac:dyDescent="0.3">
      <c r="A28" s="17">
        <v>13</v>
      </c>
      <c r="B28" s="22" t="s">
        <v>197</v>
      </c>
      <c r="C28" s="20">
        <v>1200</v>
      </c>
      <c r="D28" s="20"/>
      <c r="E28" s="20"/>
      <c r="F28" s="20"/>
      <c r="G28" s="20">
        <v>1500</v>
      </c>
      <c r="H28" s="20">
        <v>1500</v>
      </c>
      <c r="I28" s="20"/>
      <c r="J28" s="20">
        <v>0</v>
      </c>
      <c r="K28" s="20"/>
      <c r="L28" s="20"/>
      <c r="M28" s="20">
        <v>1500</v>
      </c>
      <c r="N28" s="20">
        <v>1500</v>
      </c>
      <c r="O28" s="20">
        <v>0</v>
      </c>
      <c r="P28" s="142">
        <v>125</v>
      </c>
      <c r="Q28" s="148"/>
      <c r="R28" s="20"/>
      <c r="S28" s="20"/>
      <c r="T28" s="20"/>
      <c r="U28" s="20">
        <v>1500</v>
      </c>
      <c r="V28" s="20">
        <v>1500</v>
      </c>
      <c r="W28" s="20"/>
      <c r="X28" s="20">
        <v>0</v>
      </c>
      <c r="Y28" s="20"/>
      <c r="Z28" s="20"/>
      <c r="AA28" s="20">
        <v>4100</v>
      </c>
      <c r="AB28" s="20">
        <v>4100</v>
      </c>
      <c r="AC28" s="20">
        <v>0</v>
      </c>
      <c r="AJ28" s="21">
        <f>+AJ26+AK26+AB8+AC8</f>
        <v>1822277</v>
      </c>
    </row>
    <row r="29" spans="1:45" ht="24.75" customHeight="1" x14ac:dyDescent="0.3">
      <c r="A29" s="17">
        <v>14</v>
      </c>
      <c r="B29" s="22" t="s">
        <v>549</v>
      </c>
      <c r="C29" s="20"/>
      <c r="D29" s="20"/>
      <c r="E29" s="20"/>
      <c r="F29" s="20"/>
      <c r="G29" s="20"/>
      <c r="H29" s="20"/>
      <c r="I29" s="20"/>
      <c r="J29" s="20"/>
      <c r="K29" s="20"/>
      <c r="L29" s="20"/>
      <c r="M29" s="20"/>
      <c r="N29" s="20"/>
      <c r="O29" s="20"/>
      <c r="P29" s="142"/>
      <c r="Q29" s="148"/>
      <c r="R29" s="20"/>
      <c r="S29" s="20"/>
      <c r="T29" s="20"/>
      <c r="U29" s="20"/>
      <c r="V29" s="20"/>
      <c r="W29" s="20"/>
      <c r="X29" s="20"/>
      <c r="Y29" s="20"/>
      <c r="Z29" s="20"/>
      <c r="AA29" s="20">
        <v>1600</v>
      </c>
      <c r="AB29" s="20">
        <v>1600</v>
      </c>
      <c r="AC29" s="20"/>
      <c r="AJ29" s="21"/>
    </row>
    <row r="30" spans="1:45" ht="24.75" customHeight="1" x14ac:dyDescent="0.3">
      <c r="A30" s="17">
        <v>15</v>
      </c>
      <c r="B30" s="22" t="s">
        <v>523</v>
      </c>
      <c r="C30" s="20"/>
      <c r="D30" s="20"/>
      <c r="E30" s="20"/>
      <c r="F30" s="20"/>
      <c r="G30" s="20"/>
      <c r="H30" s="20"/>
      <c r="I30" s="20"/>
      <c r="J30" s="20"/>
      <c r="K30" s="20"/>
      <c r="L30" s="20"/>
      <c r="M30" s="20"/>
      <c r="N30" s="20"/>
      <c r="O30" s="20"/>
      <c r="P30" s="142"/>
      <c r="Q30" s="148"/>
      <c r="R30" s="20"/>
      <c r="S30" s="20"/>
      <c r="T30" s="20"/>
      <c r="U30" s="20"/>
      <c r="V30" s="20"/>
      <c r="W30" s="20"/>
      <c r="X30" s="20"/>
      <c r="Y30" s="20"/>
      <c r="Z30" s="20"/>
      <c r="AA30" s="20">
        <v>9137</v>
      </c>
      <c r="AB30" s="20"/>
      <c r="AC30" s="20">
        <v>9137</v>
      </c>
      <c r="AJ30" s="21"/>
    </row>
    <row r="31" spans="1:45" ht="24.75" customHeight="1" x14ac:dyDescent="0.3">
      <c r="A31" s="17">
        <v>16</v>
      </c>
      <c r="B31" s="22" t="s">
        <v>524</v>
      </c>
      <c r="C31" s="20"/>
      <c r="D31" s="20"/>
      <c r="E31" s="20"/>
      <c r="F31" s="20"/>
      <c r="G31" s="20"/>
      <c r="H31" s="20"/>
      <c r="I31" s="20"/>
      <c r="J31" s="20"/>
      <c r="K31" s="20"/>
      <c r="L31" s="20"/>
      <c r="M31" s="20"/>
      <c r="N31" s="20"/>
      <c r="O31" s="20"/>
      <c r="P31" s="142"/>
      <c r="Q31" s="148"/>
      <c r="R31" s="20"/>
      <c r="S31" s="20"/>
      <c r="T31" s="20"/>
      <c r="U31" s="20"/>
      <c r="V31" s="20"/>
      <c r="W31" s="20"/>
      <c r="X31" s="20"/>
      <c r="Y31" s="20"/>
      <c r="Z31" s="20"/>
      <c r="AA31" s="20">
        <v>2328.9362358585981</v>
      </c>
      <c r="AB31" s="20"/>
      <c r="AC31" s="20">
        <v>2328.9362358585981</v>
      </c>
      <c r="AJ31" s="21"/>
    </row>
    <row r="32" spans="1:45" s="12" customFormat="1" ht="22.5" customHeight="1" x14ac:dyDescent="0.3">
      <c r="A32" s="13" t="s">
        <v>92</v>
      </c>
      <c r="B32" s="14" t="s">
        <v>93</v>
      </c>
      <c r="C32" s="15">
        <v>50268</v>
      </c>
      <c r="D32" s="15">
        <v>36324</v>
      </c>
      <c r="E32" s="15">
        <v>30929</v>
      </c>
      <c r="F32" s="15">
        <v>5395</v>
      </c>
      <c r="G32" s="15">
        <v>36423.074902455752</v>
      </c>
      <c r="H32" s="15">
        <v>30961</v>
      </c>
      <c r="I32" s="15">
        <v>5462.0749024557508</v>
      </c>
      <c r="J32" s="20">
        <v>0</v>
      </c>
      <c r="K32" s="15"/>
      <c r="L32" s="15"/>
      <c r="M32" s="15">
        <v>36423.074902455752</v>
      </c>
      <c r="N32" s="15">
        <v>30961</v>
      </c>
      <c r="O32" s="155">
        <v>5462.0749024557508</v>
      </c>
      <c r="P32" s="141">
        <v>72.45777612488213</v>
      </c>
      <c r="Q32" s="141">
        <v>100.2727532828316</v>
      </c>
      <c r="R32" s="15">
        <v>27741</v>
      </c>
      <c r="S32" s="15">
        <v>23716</v>
      </c>
      <c r="T32" s="15">
        <v>4025</v>
      </c>
      <c r="U32" s="15">
        <v>30961</v>
      </c>
      <c r="V32" s="15">
        <v>30961</v>
      </c>
      <c r="W32" s="15">
        <v>0</v>
      </c>
      <c r="X32" s="20">
        <v>0</v>
      </c>
      <c r="Y32" s="15"/>
      <c r="Z32" s="15"/>
      <c r="AA32" s="15">
        <v>36101.681550767964</v>
      </c>
      <c r="AB32" s="15">
        <v>30375.288722771962</v>
      </c>
      <c r="AC32" s="15">
        <v>5726.3928279959991</v>
      </c>
      <c r="AE32" s="11"/>
      <c r="AH32" s="89"/>
      <c r="AJ32" s="11">
        <f>+AJ28-'Tổng thu (2)'!AI42</f>
        <v>0</v>
      </c>
      <c r="AK32" s="11">
        <f>+AK20+AJ32</f>
        <v>303512</v>
      </c>
    </row>
    <row r="33" spans="1:34" s="12" customFormat="1" ht="22.5" hidden="1" customHeight="1" x14ac:dyDescent="0.3">
      <c r="A33" s="13" t="s">
        <v>94</v>
      </c>
      <c r="B33" s="156" t="s">
        <v>95</v>
      </c>
      <c r="C33" s="15">
        <f>+C34+C35</f>
        <v>102739</v>
      </c>
      <c r="D33" s="15"/>
      <c r="E33" s="15"/>
      <c r="F33" s="15"/>
      <c r="G33" s="15">
        <f>+G34+G35</f>
        <v>61058.36809312574</v>
      </c>
      <c r="H33" s="15">
        <f>+H34+H35</f>
        <v>61058.36809312574</v>
      </c>
      <c r="I33" s="15"/>
      <c r="J33" s="20">
        <f t="shared" ref="J23:J35" si="0">+K33+L33</f>
        <v>0</v>
      </c>
      <c r="K33" s="15"/>
      <c r="L33" s="15"/>
      <c r="M33" s="15">
        <f t="shared" ref="M15:M35" si="1">+N33+O33</f>
        <v>61058.36809312574</v>
      </c>
      <c r="N33" s="15">
        <f>+H33-K33</f>
        <v>61058.36809312574</v>
      </c>
      <c r="O33" s="20">
        <f t="shared" ref="O15:O35" si="2">+I33-L33</f>
        <v>0</v>
      </c>
      <c r="P33" s="14"/>
      <c r="Q33" s="141"/>
      <c r="R33" s="15"/>
      <c r="S33" s="15"/>
      <c r="T33" s="15"/>
      <c r="U33" s="15">
        <f>+U34+U35</f>
        <v>4610</v>
      </c>
      <c r="V33" s="15">
        <f>+V34+V35</f>
        <v>4610</v>
      </c>
      <c r="W33" s="15"/>
      <c r="X33" s="20">
        <f t="shared" ref="X23:X35" si="3">+Y33+Z33</f>
        <v>0</v>
      </c>
      <c r="Y33" s="15"/>
      <c r="Z33" s="15"/>
      <c r="AA33" s="15">
        <f>+AA34</f>
        <v>0</v>
      </c>
      <c r="AB33" s="15">
        <f t="shared" ref="AB33:AC33" si="4">+AB34</f>
        <v>0</v>
      </c>
      <c r="AC33" s="15">
        <f t="shared" si="4"/>
        <v>0</v>
      </c>
    </row>
    <row r="34" spans="1:34" ht="21" hidden="1" customHeight="1" x14ac:dyDescent="0.3">
      <c r="A34" s="17">
        <v>1</v>
      </c>
      <c r="B34" s="18" t="s">
        <v>96</v>
      </c>
      <c r="C34" s="20">
        <v>57045</v>
      </c>
      <c r="D34" s="20"/>
      <c r="E34" s="20"/>
      <c r="F34" s="20"/>
      <c r="G34" s="20">
        <f t="shared" ref="G16:G35" si="5">+H34+I34</f>
        <v>56448.36809312574</v>
      </c>
      <c r="H34" s="20">
        <f>+'[4]Số BScân đối NSX'!E23</f>
        <v>56448.36809312574</v>
      </c>
      <c r="I34" s="20"/>
      <c r="J34" s="20">
        <f t="shared" si="0"/>
        <v>0</v>
      </c>
      <c r="K34" s="20"/>
      <c r="L34" s="20"/>
      <c r="M34" s="20">
        <f t="shared" si="1"/>
        <v>56448.36809312574</v>
      </c>
      <c r="N34" s="20">
        <f t="shared" ref="N15:N35" si="6">+H34-K34</f>
        <v>56448.36809312574</v>
      </c>
      <c r="O34" s="20">
        <f t="shared" si="2"/>
        <v>0</v>
      </c>
      <c r="P34" s="145">
        <f>+G34/C34*100</f>
        <v>98.954103064467944</v>
      </c>
      <c r="Q34" s="145">
        <f>+G34/C34*100</f>
        <v>98.954103064467944</v>
      </c>
      <c r="R34" s="20"/>
      <c r="S34" s="20"/>
      <c r="T34" s="20"/>
      <c r="U34" s="20">
        <f t="shared" ref="U34:U35" si="7">+V34+W34</f>
        <v>0</v>
      </c>
      <c r="V34" s="20">
        <f>+'[4]Số BScân đối NSX'!S23</f>
        <v>0</v>
      </c>
      <c r="W34" s="20"/>
      <c r="X34" s="20">
        <f t="shared" si="3"/>
        <v>0</v>
      </c>
      <c r="Y34" s="20"/>
      <c r="Z34" s="20"/>
      <c r="AA34" s="20">
        <f t="shared" ref="AA34:AA35" si="8">+AB34+AC34</f>
        <v>0</v>
      </c>
      <c r="AB34" s="20"/>
      <c r="AC34" s="20"/>
    </row>
    <row r="35" spans="1:34" ht="21" hidden="1" customHeight="1" x14ac:dyDescent="0.3">
      <c r="A35" s="17">
        <v>2</v>
      </c>
      <c r="B35" s="18" t="s">
        <v>42</v>
      </c>
      <c r="C35" s="20">
        <v>45694</v>
      </c>
      <c r="D35" s="20"/>
      <c r="E35" s="20"/>
      <c r="F35" s="20"/>
      <c r="G35" s="20">
        <f t="shared" si="5"/>
        <v>4610</v>
      </c>
      <c r="H35" s="20">
        <f>4610</f>
        <v>4610</v>
      </c>
      <c r="I35" s="20"/>
      <c r="J35" s="20">
        <f t="shared" si="0"/>
        <v>0</v>
      </c>
      <c r="K35" s="20"/>
      <c r="L35" s="20"/>
      <c r="M35" s="20">
        <f t="shared" si="1"/>
        <v>4610</v>
      </c>
      <c r="N35" s="20">
        <f t="shared" si="6"/>
        <v>4610</v>
      </c>
      <c r="O35" s="20">
        <f t="shared" si="2"/>
        <v>0</v>
      </c>
      <c r="P35" s="18"/>
      <c r="Q35" s="18"/>
      <c r="R35" s="20"/>
      <c r="S35" s="20"/>
      <c r="T35" s="20"/>
      <c r="U35" s="20">
        <f t="shared" si="7"/>
        <v>4610</v>
      </c>
      <c r="V35" s="20">
        <f>4610</f>
        <v>4610</v>
      </c>
      <c r="W35" s="20"/>
      <c r="X35" s="20">
        <f t="shared" si="3"/>
        <v>0</v>
      </c>
      <c r="Y35" s="20"/>
      <c r="Z35" s="20"/>
      <c r="AA35" s="20">
        <f t="shared" si="8"/>
        <v>0</v>
      </c>
      <c r="AB35" s="20"/>
      <c r="AC35" s="20"/>
    </row>
    <row r="36" spans="1:34" ht="21" hidden="1" customHeight="1" x14ac:dyDescent="0.3">
      <c r="A36" s="157">
        <v>3</v>
      </c>
      <c r="B36" s="158" t="s">
        <v>166</v>
      </c>
      <c r="C36" s="73"/>
      <c r="D36" s="73"/>
      <c r="E36" s="73"/>
      <c r="F36" s="73"/>
      <c r="G36" s="73"/>
      <c r="H36" s="73"/>
      <c r="I36" s="73"/>
      <c r="J36" s="73"/>
      <c r="K36" s="73"/>
      <c r="L36" s="73"/>
      <c r="M36" s="73"/>
      <c r="N36" s="73"/>
      <c r="O36" s="73"/>
      <c r="P36" s="18"/>
      <c r="Q36" s="18"/>
      <c r="R36" s="73"/>
      <c r="S36" s="73"/>
      <c r="T36" s="73"/>
      <c r="U36" s="73"/>
      <c r="V36" s="73"/>
      <c r="W36" s="73"/>
      <c r="X36" s="73"/>
      <c r="Y36" s="73"/>
      <c r="Z36" s="73"/>
      <c r="AA36" s="73"/>
      <c r="AB36" s="73"/>
      <c r="AC36" s="73"/>
    </row>
    <row r="37" spans="1:34" x14ac:dyDescent="0.3">
      <c r="AH37" s="21"/>
    </row>
    <row r="38" spans="1:34" x14ac:dyDescent="0.3">
      <c r="AH38" s="450"/>
    </row>
    <row r="40" spans="1:34" x14ac:dyDescent="0.3">
      <c r="AH40" s="21"/>
    </row>
    <row r="41" spans="1:34" x14ac:dyDescent="0.3">
      <c r="AH41" s="162"/>
    </row>
  </sheetData>
  <mergeCells count="16">
    <mergeCell ref="AB5:AC5"/>
    <mergeCell ref="A2:AC2"/>
    <mergeCell ref="A3:AC3"/>
    <mergeCell ref="AB4:AC4"/>
    <mergeCell ref="A5:A6"/>
    <mergeCell ref="B5:B6"/>
    <mergeCell ref="C5:C6"/>
    <mergeCell ref="D5:F5"/>
    <mergeCell ref="G5:I5"/>
    <mergeCell ref="J5:L5"/>
    <mergeCell ref="M5:O5"/>
    <mergeCell ref="P5:Q5"/>
    <mergeCell ref="R5:T5"/>
    <mergeCell ref="U5:W5"/>
    <mergeCell ref="X5:Z5"/>
    <mergeCell ref="AA5:AA6"/>
  </mergeCells>
  <pageMargins left="0.45" right="0.25" top="0.5" bottom="0" header="0.3" footer="0.3"/>
  <pageSetup paperSize="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4"/>
  <sheetViews>
    <sheetView view="pageBreakPreview" zoomScale="85" zoomScaleNormal="96" zoomScaleSheetLayoutView="85" workbookViewId="0">
      <pane xSplit="2" ySplit="8" topLeftCell="D28" activePane="bottomRight" state="frozen"/>
      <selection activeCell="B16" sqref="B16"/>
      <selection pane="topRight" activeCell="B16" sqref="B16"/>
      <selection pane="bottomLeft" activeCell="B16" sqref="B16"/>
      <selection pane="bottomRight" activeCell="AC54" sqref="AC54"/>
    </sheetView>
  </sheetViews>
  <sheetFormatPr defaultColWidth="9" defaultRowHeight="15.6" x14ac:dyDescent="0.3"/>
  <cols>
    <col min="1" max="1" width="4.69921875" style="23" customWidth="1"/>
    <col min="2" max="2" width="45.3984375" customWidth="1"/>
    <col min="3" max="3" width="10.09765625" style="2" hidden="1" customWidth="1"/>
    <col min="4" max="4" width="12.69921875" style="2" hidden="1" customWidth="1"/>
    <col min="5" max="5" width="12.5" style="2" hidden="1" customWidth="1"/>
    <col min="6" max="6" width="11.09765625" style="2" hidden="1" customWidth="1"/>
    <col min="7" max="8" width="13.19921875" style="2" hidden="1" customWidth="1"/>
    <col min="9" max="9" width="11.09765625" style="2" hidden="1" customWidth="1"/>
    <col min="10" max="10" width="9" style="2" hidden="1" customWidth="1"/>
    <col min="11" max="11" width="8.5" style="2" hidden="1" customWidth="1"/>
    <col min="12" max="12" width="7.5" style="2" hidden="1" customWidth="1"/>
    <col min="13" max="13" width="13.3984375" style="2" hidden="1" customWidth="1"/>
    <col min="14" max="14" width="13.09765625" style="2" hidden="1" customWidth="1"/>
    <col min="15" max="15" width="11.5" style="2" hidden="1" customWidth="1"/>
    <col min="16" max="17" width="0" hidden="1" customWidth="1"/>
    <col min="18" max="18" width="12.69921875" style="2" hidden="1" customWidth="1"/>
    <col min="19" max="19" width="12.5" style="2" hidden="1" customWidth="1"/>
    <col min="20" max="20" width="11.09765625" style="2" hidden="1" customWidth="1"/>
    <col min="21" max="22" width="13.19921875" style="2" hidden="1" customWidth="1"/>
    <col min="23" max="23" width="11.09765625" style="2" hidden="1" customWidth="1"/>
    <col min="24" max="24" width="9" style="2" hidden="1" customWidth="1"/>
    <col min="25" max="25" width="8.5" style="2" hidden="1" customWidth="1"/>
    <col min="26" max="26" width="7.5" style="2" hidden="1" customWidth="1"/>
    <col min="27" max="27" width="13.3984375" style="2" customWidth="1"/>
    <col min="28" max="28" width="13.09765625" style="2" customWidth="1"/>
    <col min="29" max="29" width="11.5" style="2" customWidth="1"/>
    <col min="30" max="30" width="12.19921875" hidden="1" customWidth="1"/>
    <col min="31" max="31" width="17.5" hidden="1" customWidth="1"/>
    <col min="32" max="32" width="16.3984375" hidden="1" customWidth="1"/>
    <col min="33" max="33" width="11.09765625" hidden="1" customWidth="1"/>
    <col min="35" max="35" width="13.69921875" bestFit="1" customWidth="1"/>
  </cols>
  <sheetData>
    <row r="1" spans="1:35" x14ac:dyDescent="0.3">
      <c r="A1" s="56" t="s">
        <v>192</v>
      </c>
      <c r="AC1" s="96" t="s">
        <v>234</v>
      </c>
    </row>
    <row r="2" spans="1:35" x14ac:dyDescent="0.3">
      <c r="A2" s="505" t="s">
        <v>356</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21" t="e">
        <f>+#REF!+AD4</f>
        <v>#REF!</v>
      </c>
      <c r="AE2" s="21" t="e">
        <f>+AE3/M8*100</f>
        <v>#REF!</v>
      </c>
    </row>
    <row r="3" spans="1:35" ht="16.2" x14ac:dyDescent="0.35">
      <c r="A3" s="506"/>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136">
        <v>708097</v>
      </c>
      <c r="AE3" s="21" t="e">
        <f>+#REF!/AD3*100</f>
        <v>#REF!</v>
      </c>
    </row>
    <row r="4" spans="1:35" x14ac:dyDescent="0.3">
      <c r="J4" s="137"/>
      <c r="K4" s="137"/>
      <c r="L4" s="137"/>
      <c r="M4" s="137"/>
      <c r="N4" s="137"/>
      <c r="X4" s="137"/>
      <c r="Y4" s="137"/>
      <c r="Z4" s="137"/>
      <c r="AA4" s="137"/>
      <c r="AB4" s="507" t="s">
        <v>149</v>
      </c>
      <c r="AC4" s="507"/>
      <c r="AD4">
        <v>654</v>
      </c>
      <c r="AE4" s="21" t="e">
        <f>+AE3/D8*100</f>
        <v>#REF!</v>
      </c>
    </row>
    <row r="5" spans="1:35" ht="33" customHeight="1" x14ac:dyDescent="0.3">
      <c r="A5" s="508" t="s">
        <v>1</v>
      </c>
      <c r="B5" s="508" t="s">
        <v>2</v>
      </c>
      <c r="C5" s="508" t="s">
        <v>43</v>
      </c>
      <c r="D5" s="510" t="s">
        <v>194</v>
      </c>
      <c r="E5" s="510"/>
      <c r="F5" s="510"/>
      <c r="G5" s="510" t="s">
        <v>44</v>
      </c>
      <c r="H5" s="510"/>
      <c r="I5" s="510"/>
      <c r="J5" s="510" t="s">
        <v>45</v>
      </c>
      <c r="K5" s="510"/>
      <c r="L5" s="510"/>
      <c r="M5" s="510" t="s">
        <v>195</v>
      </c>
      <c r="N5" s="510"/>
      <c r="O5" s="510"/>
      <c r="P5" s="510" t="s">
        <v>46</v>
      </c>
      <c r="Q5" s="510"/>
      <c r="R5" s="510" t="s">
        <v>182</v>
      </c>
      <c r="S5" s="510"/>
      <c r="T5" s="510"/>
      <c r="U5" s="510" t="s">
        <v>44</v>
      </c>
      <c r="V5" s="510"/>
      <c r="W5" s="510"/>
      <c r="X5" s="510" t="s">
        <v>45</v>
      </c>
      <c r="Y5" s="510"/>
      <c r="Z5" s="510"/>
      <c r="AA5" s="510" t="s">
        <v>196</v>
      </c>
      <c r="AB5" s="510"/>
      <c r="AC5" s="510"/>
      <c r="AD5">
        <v>254</v>
      </c>
      <c r="AE5">
        <v>471350</v>
      </c>
    </row>
    <row r="6" spans="1:35" ht="23.25" customHeight="1" x14ac:dyDescent="0.3">
      <c r="A6" s="509"/>
      <c r="B6" s="509"/>
      <c r="C6" s="509"/>
      <c r="D6" s="231" t="s">
        <v>47</v>
      </c>
      <c r="E6" s="231" t="s">
        <v>10</v>
      </c>
      <c r="F6" s="231" t="s">
        <v>11</v>
      </c>
      <c r="G6" s="231" t="s">
        <v>47</v>
      </c>
      <c r="H6" s="231" t="s">
        <v>10</v>
      </c>
      <c r="I6" s="231" t="s">
        <v>11</v>
      </c>
      <c r="J6" s="231" t="s">
        <v>47</v>
      </c>
      <c r="K6" s="231" t="s">
        <v>10</v>
      </c>
      <c r="L6" s="231" t="s">
        <v>11</v>
      </c>
      <c r="M6" s="231" t="s">
        <v>47</v>
      </c>
      <c r="N6" s="231" t="s">
        <v>10</v>
      </c>
      <c r="O6" s="231" t="s">
        <v>11</v>
      </c>
      <c r="P6" s="231" t="s">
        <v>48</v>
      </c>
      <c r="Q6" s="231" t="s">
        <v>49</v>
      </c>
      <c r="R6" s="231" t="s">
        <v>47</v>
      </c>
      <c r="S6" s="231" t="s">
        <v>10</v>
      </c>
      <c r="T6" s="231" t="s">
        <v>11</v>
      </c>
      <c r="U6" s="231" t="s">
        <v>47</v>
      </c>
      <c r="V6" s="231" t="s">
        <v>10</v>
      </c>
      <c r="W6" s="231" t="s">
        <v>11</v>
      </c>
      <c r="X6" s="231" t="s">
        <v>47</v>
      </c>
      <c r="Y6" s="231" t="s">
        <v>10</v>
      </c>
      <c r="Z6" s="231" t="s">
        <v>11</v>
      </c>
      <c r="AA6" s="231" t="s">
        <v>47</v>
      </c>
      <c r="AB6" s="231" t="s">
        <v>10</v>
      </c>
      <c r="AC6" s="231" t="s">
        <v>11</v>
      </c>
      <c r="AD6" s="21" t="e">
        <f>+#REF!+AD4</f>
        <v>#REF!</v>
      </c>
      <c r="AE6" s="21">
        <f>+AE5/N7*100</f>
        <v>25.488712768798589</v>
      </c>
      <c r="AH6" s="21">
        <f>+AB7-AB9</f>
        <v>585781.80000000005</v>
      </c>
    </row>
    <row r="7" spans="1:35" s="12" customFormat="1" ht="21" customHeight="1" x14ac:dyDescent="0.3">
      <c r="A7" s="138"/>
      <c r="B7" s="138" t="s">
        <v>50</v>
      </c>
      <c r="C7" s="139">
        <f>+C8+C54</f>
        <v>2317890</v>
      </c>
      <c r="D7" s="139">
        <f>+D8+D54</f>
        <v>1835869</v>
      </c>
      <c r="E7" s="139">
        <f>+E8+E54</f>
        <v>1566064</v>
      </c>
      <c r="F7" s="139">
        <f>+F8+F54</f>
        <v>269804</v>
      </c>
      <c r="G7" s="139">
        <f>+G8+G54</f>
        <v>2168037.3410446965</v>
      </c>
      <c r="H7" s="139">
        <f>+H8+H54+1</f>
        <v>1855663.3680931258</v>
      </c>
      <c r="I7" s="139">
        <f t="shared" ref="I7:O7" si="0">+I8+I54</f>
        <v>312373.97295157076</v>
      </c>
      <c r="J7" s="139">
        <f t="shared" si="0"/>
        <v>7886.05</v>
      </c>
      <c r="K7" s="139">
        <f t="shared" si="0"/>
        <v>6928.45</v>
      </c>
      <c r="L7" s="139">
        <f t="shared" si="0"/>
        <v>957.59999999999991</v>
      </c>
      <c r="M7" s="139">
        <f t="shared" si="0"/>
        <v>2160666.2910446962</v>
      </c>
      <c r="N7" s="139">
        <f t="shared" si="0"/>
        <v>1849249.9180931258</v>
      </c>
      <c r="O7" s="139">
        <f t="shared" si="0"/>
        <v>311416.37295157072</v>
      </c>
      <c r="P7" s="140">
        <f>+G7/C7*100</f>
        <v>93.534953817683174</v>
      </c>
      <c r="Q7" s="140">
        <f>+G7/D7*100</f>
        <v>118.0932485403205</v>
      </c>
      <c r="R7" s="139">
        <f>+R8+R54</f>
        <v>1386805.5</v>
      </c>
      <c r="S7" s="139">
        <f>+S8+S54</f>
        <v>1185781.5</v>
      </c>
      <c r="T7" s="139">
        <f>+T8+T54</f>
        <v>201024</v>
      </c>
      <c r="U7" s="139">
        <f>+U8+U54</f>
        <v>2091214.7961900001</v>
      </c>
      <c r="V7" s="139">
        <f>+V8+V54+1</f>
        <v>1814865</v>
      </c>
      <c r="W7" s="139">
        <f t="shared" ref="W7:AA7" si="1">+W8+W54</f>
        <v>276349.79619000002</v>
      </c>
      <c r="X7" s="139">
        <f t="shared" si="1"/>
        <v>7473.05</v>
      </c>
      <c r="Y7" s="139">
        <f t="shared" si="1"/>
        <v>6515.45</v>
      </c>
      <c r="Z7" s="139">
        <f t="shared" si="1"/>
        <v>957.59999999999991</v>
      </c>
      <c r="AA7" s="139">
        <f t="shared" si="1"/>
        <v>1386806</v>
      </c>
      <c r="AB7" s="139">
        <f>+AB8+AB54</f>
        <v>1185781.8</v>
      </c>
      <c r="AC7" s="139">
        <f>+AC8+AC54</f>
        <v>201024.2</v>
      </c>
      <c r="AD7" s="11" t="e">
        <f>+#REF!-129204</f>
        <v>#REF!</v>
      </c>
      <c r="AE7" s="89">
        <v>1006444</v>
      </c>
      <c r="AF7" s="11"/>
    </row>
    <row r="8" spans="1:35" s="12" customFormat="1" ht="21" customHeight="1" x14ac:dyDescent="0.3">
      <c r="A8" s="13" t="s">
        <v>51</v>
      </c>
      <c r="B8" s="14" t="s">
        <v>52</v>
      </c>
      <c r="C8" s="15">
        <f>+C9+C14+C49+C50</f>
        <v>2301076</v>
      </c>
      <c r="D8" s="15">
        <f>+D9+D14+D49+D50</f>
        <v>1808061</v>
      </c>
      <c r="E8" s="15">
        <f>+E9+E14+E49+E50</f>
        <v>1542866</v>
      </c>
      <c r="F8" s="15">
        <f>+F9+F14+F49+F50</f>
        <v>265194</v>
      </c>
      <c r="G8" s="15">
        <f>+G9+G14+G49+G50</f>
        <v>2144838.9410446966</v>
      </c>
      <c r="H8" s="15">
        <f>+H9+H14+H49+H50-1</f>
        <v>1837074.3680931258</v>
      </c>
      <c r="I8" s="15">
        <f t="shared" ref="I8:O8" si="2">+I9+I14+I49+I50</f>
        <v>307763.57295157074</v>
      </c>
      <c r="J8" s="15">
        <f t="shared" si="2"/>
        <v>7886.05</v>
      </c>
      <c r="K8" s="15">
        <f t="shared" si="2"/>
        <v>6928.45</v>
      </c>
      <c r="L8" s="15">
        <f t="shared" si="2"/>
        <v>957.59999999999991</v>
      </c>
      <c r="M8" s="15">
        <f t="shared" si="2"/>
        <v>2137467.8910446963</v>
      </c>
      <c r="N8" s="15">
        <f t="shared" si="2"/>
        <v>1830661.9180931258</v>
      </c>
      <c r="O8" s="15">
        <f t="shared" si="2"/>
        <v>306805.9729515707</v>
      </c>
      <c r="P8" s="141">
        <f>+G8/C8*100</f>
        <v>93.210260810364218</v>
      </c>
      <c r="Q8" s="141">
        <f>+G8/D8*100</f>
        <v>118.62647007178944</v>
      </c>
      <c r="R8" s="15">
        <f>+R9+R14+R49+R50</f>
        <v>1348904.5</v>
      </c>
      <c r="S8" s="15">
        <f>+S9+S14+S49+S50</f>
        <v>1154968.5</v>
      </c>
      <c r="T8" s="15">
        <f>+T9+T14+T49+T50</f>
        <v>193936</v>
      </c>
      <c r="U8" s="15">
        <f>+U9+U14+U49+U50</f>
        <v>2065011.7961900001</v>
      </c>
      <c r="V8" s="15">
        <f>+V9+V14+V49+V50-1</f>
        <v>1788661</v>
      </c>
      <c r="W8" s="15">
        <f t="shared" ref="W8:AA8" si="3">+W9+W14+W49+W50</f>
        <v>276349.79619000002</v>
      </c>
      <c r="X8" s="15">
        <f t="shared" si="3"/>
        <v>7473.05</v>
      </c>
      <c r="Y8" s="15">
        <f t="shared" si="3"/>
        <v>6515.45</v>
      </c>
      <c r="Z8" s="15">
        <f t="shared" si="3"/>
        <v>957.59999999999991</v>
      </c>
      <c r="AA8" s="15">
        <f t="shared" si="3"/>
        <v>1348905</v>
      </c>
      <c r="AB8" s="15">
        <f>+AB9+AB14+AB49+AB50</f>
        <v>1154968.8</v>
      </c>
      <c r="AC8" s="15">
        <f>+AC9+AC14+AC49+AC50</f>
        <v>193936.2</v>
      </c>
      <c r="AD8" s="11">
        <v>160995</v>
      </c>
      <c r="AE8" s="11">
        <f>+AE11+AE38+AE41</f>
        <v>31439</v>
      </c>
      <c r="AH8" s="11">
        <f>+AC7-AC9</f>
        <v>101024.20000000001</v>
      </c>
    </row>
    <row r="9" spans="1:35" s="12" customFormat="1" ht="20.25" customHeight="1" x14ac:dyDescent="0.3">
      <c r="A9" s="13" t="s">
        <v>13</v>
      </c>
      <c r="B9" s="14" t="s">
        <v>53</v>
      </c>
      <c r="C9" s="15">
        <v>1349686</v>
      </c>
      <c r="D9" s="15">
        <f>+E9+F9</f>
        <v>1150000</v>
      </c>
      <c r="E9" s="15">
        <v>980000</v>
      </c>
      <c r="F9" s="15">
        <v>170000</v>
      </c>
      <c r="G9" s="15">
        <f>+H9+I9</f>
        <v>1414000</v>
      </c>
      <c r="H9" s="15">
        <f>+H10+H11</f>
        <v>1212000</v>
      </c>
      <c r="I9" s="15">
        <f>+I10+I11</f>
        <v>202000</v>
      </c>
      <c r="J9" s="15">
        <f t="shared" ref="J9:O9" si="4">+J10+J11</f>
        <v>0</v>
      </c>
      <c r="K9" s="15">
        <f t="shared" si="4"/>
        <v>0</v>
      </c>
      <c r="L9" s="15">
        <f t="shared" si="4"/>
        <v>0</v>
      </c>
      <c r="M9" s="15">
        <f t="shared" si="4"/>
        <v>1414000</v>
      </c>
      <c r="N9" s="15">
        <f t="shared" si="4"/>
        <v>1212000</v>
      </c>
      <c r="O9" s="15">
        <f t="shared" si="4"/>
        <v>202000</v>
      </c>
      <c r="P9" s="141">
        <f>+G9/C9*100</f>
        <v>104.7651083289002</v>
      </c>
      <c r="Q9" s="141">
        <f>+G9/D9*100</f>
        <v>122.95652173913044</v>
      </c>
      <c r="R9" s="15">
        <f>+S9+T9</f>
        <v>700000</v>
      </c>
      <c r="S9" s="15">
        <v>600000</v>
      </c>
      <c r="T9" s="15">
        <v>100000</v>
      </c>
      <c r="U9" s="15">
        <f>+V9+W9</f>
        <v>1414000</v>
      </c>
      <c r="V9" s="15">
        <f>+V10+V11</f>
        <v>1212000</v>
      </c>
      <c r="W9" s="15">
        <f>+W10+W11</f>
        <v>202000</v>
      </c>
      <c r="X9" s="15">
        <f t="shared" ref="X9:Z9" si="5">+X10+X11</f>
        <v>0</v>
      </c>
      <c r="Y9" s="15">
        <f t="shared" si="5"/>
        <v>0</v>
      </c>
      <c r="Z9" s="15">
        <f t="shared" si="5"/>
        <v>0</v>
      </c>
      <c r="AA9" s="15">
        <f>+AB9+AC9</f>
        <v>700000</v>
      </c>
      <c r="AB9" s="15">
        <v>600000</v>
      </c>
      <c r="AC9" s="15">
        <v>100000</v>
      </c>
      <c r="AD9" s="11" t="e">
        <f>+AD8-#REF!</f>
        <v>#REF!</v>
      </c>
      <c r="AE9" s="64">
        <v>141283</v>
      </c>
      <c r="AH9" s="11">
        <f>+AH8-AC54</f>
        <v>93936.200000000012</v>
      </c>
    </row>
    <row r="10" spans="1:35" ht="26.25" hidden="1" customHeight="1" x14ac:dyDescent="0.3">
      <c r="A10" s="17">
        <v>1</v>
      </c>
      <c r="B10" s="18" t="s">
        <v>319</v>
      </c>
      <c r="C10" s="20"/>
      <c r="D10" s="20"/>
      <c r="E10" s="20"/>
      <c r="F10" s="20"/>
      <c r="G10" s="20">
        <f>+H10+I10</f>
        <v>1413000</v>
      </c>
      <c r="H10" s="20">
        <v>1211000</v>
      </c>
      <c r="I10" s="20">
        <v>202000</v>
      </c>
      <c r="J10" s="20"/>
      <c r="K10" s="20"/>
      <c r="L10" s="20"/>
      <c r="M10" s="20">
        <f>+N10+O10</f>
        <v>1413000</v>
      </c>
      <c r="N10" s="20">
        <f>+H10-K10</f>
        <v>1211000</v>
      </c>
      <c r="O10" s="20">
        <f>+I10-L10</f>
        <v>202000</v>
      </c>
      <c r="P10" s="142"/>
      <c r="Q10" s="142"/>
      <c r="R10" s="20"/>
      <c r="S10" s="20"/>
      <c r="T10" s="20"/>
      <c r="U10" s="20">
        <f>+V10+W10</f>
        <v>1413000</v>
      </c>
      <c r="V10" s="20">
        <v>1211000</v>
      </c>
      <c r="W10" s="20">
        <v>202000</v>
      </c>
      <c r="X10" s="20"/>
      <c r="Y10" s="20"/>
      <c r="Z10" s="20"/>
      <c r="AA10" s="20">
        <f>+AB10+AC10</f>
        <v>748200</v>
      </c>
      <c r="AB10" s="20">
        <f>+AB9-AB13-AB12</f>
        <v>585000</v>
      </c>
      <c r="AC10" s="20">
        <v>163200</v>
      </c>
      <c r="AD10" s="11"/>
      <c r="AE10" s="21">
        <f>+AE7-AE8+AE9</f>
        <v>1116288</v>
      </c>
    </row>
    <row r="11" spans="1:35" ht="23.25" hidden="1" customHeight="1" x14ac:dyDescent="0.3">
      <c r="A11" s="17">
        <v>2</v>
      </c>
      <c r="B11" s="143" t="s">
        <v>54</v>
      </c>
      <c r="C11" s="20"/>
      <c r="D11" s="20"/>
      <c r="E11" s="20"/>
      <c r="F11" s="144"/>
      <c r="G11" s="20">
        <f>+H11+I11</f>
        <v>1000</v>
      </c>
      <c r="H11" s="20">
        <v>1000</v>
      </c>
      <c r="I11" s="20"/>
      <c r="J11" s="20"/>
      <c r="K11" s="20"/>
      <c r="L11" s="20"/>
      <c r="M11" s="20">
        <f>+N11+O11</f>
        <v>1000</v>
      </c>
      <c r="N11" s="20">
        <f>+H11-K11</f>
        <v>1000</v>
      </c>
      <c r="O11" s="20">
        <f>+I11-L11</f>
        <v>0</v>
      </c>
      <c r="P11" s="142"/>
      <c r="Q11" s="142"/>
      <c r="R11" s="20"/>
      <c r="S11" s="20"/>
      <c r="T11" s="144"/>
      <c r="U11" s="20">
        <f>+V11+W11</f>
        <v>1000</v>
      </c>
      <c r="V11" s="20">
        <v>1000</v>
      </c>
      <c r="W11" s="20"/>
      <c r="X11" s="20"/>
      <c r="Y11" s="20"/>
      <c r="Z11" s="20"/>
      <c r="AA11" s="20">
        <f>+AB11+AC11</f>
        <v>0</v>
      </c>
      <c r="AB11" s="20"/>
      <c r="AC11" s="20"/>
      <c r="AD11" s="90">
        <v>220517</v>
      </c>
      <c r="AE11" s="28">
        <v>31439</v>
      </c>
      <c r="AH11" s="21">
        <f>+AB14+AB51</f>
        <v>531252.80000000005</v>
      </c>
    </row>
    <row r="12" spans="1:35" ht="71.25" hidden="1" customHeight="1" x14ac:dyDescent="0.3">
      <c r="A12" s="17">
        <v>3</v>
      </c>
      <c r="B12" s="143" t="s">
        <v>318</v>
      </c>
      <c r="C12" s="20"/>
      <c r="D12" s="20"/>
      <c r="E12" s="20"/>
      <c r="F12" s="144"/>
      <c r="G12" s="20"/>
      <c r="H12" s="20"/>
      <c r="I12" s="20"/>
      <c r="J12" s="20"/>
      <c r="K12" s="20"/>
      <c r="L12" s="20"/>
      <c r="M12" s="20"/>
      <c r="N12" s="20"/>
      <c r="O12" s="20"/>
      <c r="P12" s="142"/>
      <c r="Q12" s="142"/>
      <c r="R12" s="20"/>
      <c r="S12" s="20"/>
      <c r="T12" s="144"/>
      <c r="U12" s="20"/>
      <c r="V12" s="20"/>
      <c r="W12" s="20"/>
      <c r="X12" s="20"/>
      <c r="Y12" s="20"/>
      <c r="Z12" s="20"/>
      <c r="AA12" s="20"/>
      <c r="AB12" s="20">
        <v>15000</v>
      </c>
      <c r="AC12" s="20">
        <v>15000</v>
      </c>
      <c r="AD12" s="90"/>
      <c r="AE12" s="28"/>
      <c r="AH12" s="21"/>
    </row>
    <row r="13" spans="1:35" ht="23.25" hidden="1" customHeight="1" x14ac:dyDescent="0.3">
      <c r="A13" s="17">
        <v>4</v>
      </c>
      <c r="B13" s="143" t="s">
        <v>159</v>
      </c>
      <c r="C13" s="20"/>
      <c r="D13" s="20"/>
      <c r="E13" s="20"/>
      <c r="F13" s="144"/>
      <c r="G13" s="20"/>
      <c r="H13" s="20"/>
      <c r="I13" s="20"/>
      <c r="J13" s="20"/>
      <c r="K13" s="20"/>
      <c r="L13" s="20"/>
      <c r="M13" s="20"/>
      <c r="N13" s="20"/>
      <c r="O13" s="20"/>
      <c r="P13" s="142"/>
      <c r="Q13" s="142"/>
      <c r="R13" s="20"/>
      <c r="S13" s="20"/>
      <c r="T13" s="144"/>
      <c r="U13" s="20"/>
      <c r="V13" s="20"/>
      <c r="W13" s="20"/>
      <c r="X13" s="20"/>
      <c r="Y13" s="20"/>
      <c r="Z13" s="20"/>
      <c r="AA13" s="20"/>
      <c r="AB13" s="20"/>
      <c r="AC13" s="20">
        <v>6800</v>
      </c>
      <c r="AD13" s="90"/>
      <c r="AE13" s="28"/>
      <c r="AH13" s="21"/>
    </row>
    <row r="14" spans="1:35" s="12" customFormat="1" ht="20.25" customHeight="1" x14ac:dyDescent="0.3">
      <c r="A14" s="13" t="s">
        <v>39</v>
      </c>
      <c r="B14" s="14" t="s">
        <v>55</v>
      </c>
      <c r="C14" s="15">
        <f>SUM(C15,C25:C48)</f>
        <v>798383</v>
      </c>
      <c r="D14" s="15">
        <f>+E14+F14+1</f>
        <v>621737</v>
      </c>
      <c r="E14" s="15">
        <v>531937</v>
      </c>
      <c r="F14" s="15">
        <v>89799</v>
      </c>
      <c r="G14" s="15">
        <f t="shared" ref="G14:O14" si="6">SUM(G15,G25:G30,G32:G34,G45:G48)</f>
        <v>633357.49804911506</v>
      </c>
      <c r="H14" s="15">
        <f t="shared" si="6"/>
        <v>533056</v>
      </c>
      <c r="I14" s="15">
        <f t="shared" si="6"/>
        <v>100301.49804911499</v>
      </c>
      <c r="J14" s="15">
        <f t="shared" si="6"/>
        <v>7886.05</v>
      </c>
      <c r="K14" s="15">
        <f t="shared" si="6"/>
        <v>6928.45</v>
      </c>
      <c r="L14" s="15">
        <f t="shared" si="6"/>
        <v>957.59999999999991</v>
      </c>
      <c r="M14" s="15">
        <f t="shared" si="6"/>
        <v>625986.44804911502</v>
      </c>
      <c r="N14" s="15">
        <f t="shared" si="6"/>
        <v>526642.55000000005</v>
      </c>
      <c r="O14" s="15">
        <f t="shared" si="6"/>
        <v>99343.898049114985</v>
      </c>
      <c r="P14" s="141">
        <f>+G14/C14*100</f>
        <v>79.330033085513477</v>
      </c>
      <c r="Q14" s="141">
        <f>+G14/D14*100</f>
        <v>101.8690375591472</v>
      </c>
      <c r="R14" s="15">
        <f>+S14+T14</f>
        <v>621163.5</v>
      </c>
      <c r="S14" s="15">
        <v>531252.5</v>
      </c>
      <c r="T14" s="15">
        <v>89911</v>
      </c>
      <c r="U14" s="15">
        <f t="shared" ref="U14:AA14" si="7">SUM(U15,U25:U30,U32:U34,U45:U48)</f>
        <v>615440.79619000002</v>
      </c>
      <c r="V14" s="15">
        <f t="shared" si="7"/>
        <v>541091</v>
      </c>
      <c r="W14" s="15">
        <f t="shared" si="7"/>
        <v>74349.796190000008</v>
      </c>
      <c r="X14" s="15">
        <f t="shared" si="7"/>
        <v>7473.05</v>
      </c>
      <c r="Y14" s="15">
        <f t="shared" si="7"/>
        <v>6515.45</v>
      </c>
      <c r="Z14" s="15">
        <f t="shared" si="7"/>
        <v>957.59999999999991</v>
      </c>
      <c r="AA14" s="15">
        <f t="shared" si="7"/>
        <v>621164</v>
      </c>
      <c r="AB14" s="15">
        <f>+AB15+AB25+AB26+AB27+AB28+AB29+AB31+AB32+AB33+AB34+AB45+AB46+AB47+AB48+AB30</f>
        <v>531252.80000000005</v>
      </c>
      <c r="AC14" s="15">
        <f>SUM(AC15,AC25:AC30,AC32:AC34,AC45:AC48)</f>
        <v>89911.200000000012</v>
      </c>
      <c r="AD14" s="2">
        <v>654</v>
      </c>
      <c r="AE14" s="21">
        <v>269</v>
      </c>
      <c r="AH14" s="12">
        <v>531252</v>
      </c>
      <c r="AI14" s="11">
        <f>+S14-AB14</f>
        <v>-0.30000000004656613</v>
      </c>
    </row>
    <row r="15" spans="1:35" ht="21.75" customHeight="1" x14ac:dyDescent="0.3">
      <c r="A15" s="17">
        <v>1</v>
      </c>
      <c r="B15" s="18" t="s">
        <v>56</v>
      </c>
      <c r="C15" s="20">
        <v>115653</v>
      </c>
      <c r="D15" s="20"/>
      <c r="E15" s="20"/>
      <c r="F15" s="20"/>
      <c r="G15" s="20">
        <f>+H15+I15</f>
        <v>108474.79619000001</v>
      </c>
      <c r="H15" s="20">
        <f>+H16+H17+H18+H19</f>
        <v>34125</v>
      </c>
      <c r="I15" s="20">
        <f>+'[3]Chi xã (NQ mới)'!$DB$9</f>
        <v>74349.796190000008</v>
      </c>
      <c r="J15" s="20">
        <f>+K15+L15</f>
        <v>1370.6</v>
      </c>
      <c r="K15" s="20">
        <f>+K16+K17+K18+K19</f>
        <v>413</v>
      </c>
      <c r="L15" s="20">
        <f>+'[3]Chi xã (NQ mới)'!$DC$9</f>
        <v>957.59999999999991</v>
      </c>
      <c r="M15" s="20">
        <f>+N15+O15</f>
        <v>107104.19619</v>
      </c>
      <c r="N15" s="20">
        <f>+N16+N17+N18+N19</f>
        <v>33712</v>
      </c>
      <c r="O15" s="20">
        <f>+I15-L15</f>
        <v>73392.196190000002</v>
      </c>
      <c r="P15" s="142">
        <f t="shared" ref="P15:P49" si="8">+G15/C15*100</f>
        <v>93.793326753305152</v>
      </c>
      <c r="Q15" s="18"/>
      <c r="R15" s="20"/>
      <c r="S15" s="20"/>
      <c r="T15" s="20"/>
      <c r="U15" s="20">
        <f>+V15+W15</f>
        <v>108474.79619000001</v>
      </c>
      <c r="V15" s="20">
        <f>+V16+V17+V18+V19</f>
        <v>34125</v>
      </c>
      <c r="W15" s="20">
        <f>+'[3]Chi xã (NQ mới)'!$DB$9</f>
        <v>74349.796190000008</v>
      </c>
      <c r="X15" s="20">
        <f>+Y15+Z15</f>
        <v>957.59999999999991</v>
      </c>
      <c r="Y15" s="20">
        <f>+Y16+Y17+Y18+Y19</f>
        <v>0</v>
      </c>
      <c r="Z15" s="20">
        <f>+'[3]Chi xã (NQ mới)'!$DC$9</f>
        <v>957.59999999999991</v>
      </c>
      <c r="AA15" s="20">
        <f>+AB15+AC15</f>
        <v>96785</v>
      </c>
      <c r="AB15" s="20">
        <v>25104</v>
      </c>
      <c r="AC15" s="20">
        <v>71681</v>
      </c>
      <c r="AD15" s="2" t="e">
        <f>+#REF!+AD14</f>
        <v>#REF!</v>
      </c>
      <c r="AH15" s="21">
        <f>+AB14-AH14</f>
        <v>0.80000000004656613</v>
      </c>
    </row>
    <row r="16" spans="1:35" ht="20.100000000000001" hidden="1" customHeight="1" x14ac:dyDescent="0.3">
      <c r="A16" s="17" t="s">
        <v>57</v>
      </c>
      <c r="B16" s="18" t="s">
        <v>58</v>
      </c>
      <c r="C16" s="20">
        <v>78626</v>
      </c>
      <c r="D16" s="20"/>
      <c r="E16" s="20"/>
      <c r="F16" s="20"/>
      <c r="G16" s="20"/>
      <c r="H16" s="20">
        <f>+'[3]Tổng chi'!$H$12</f>
        <v>20609</v>
      </c>
      <c r="I16" s="20"/>
      <c r="J16" s="20"/>
      <c r="K16" s="20">
        <f>+'[4]chi các CQ'!D10+'[4]chi các CQ'!D19+'[4]chi các CQ'!D30+'[4]chi các CQ'!D36+'[4]chi các CQ'!D45+'[4]chi các CQ'!D53+'[4]chi các CQ'!D59+'[4]chi các CQ'!D67+'[4]chi các CQ'!D93+'[4]chi các CQ'!D101+'[4]chi các CQ'!D111+'[4]chi các CQ'!D117</f>
        <v>252</v>
      </c>
      <c r="L16" s="20"/>
      <c r="M16" s="20">
        <f t="shared" ref="M16:M54" si="9">+N16+O16</f>
        <v>20357</v>
      </c>
      <c r="N16" s="20">
        <f>+H16-K16</f>
        <v>20357</v>
      </c>
      <c r="O16" s="20">
        <f t="shared" ref="O16:O54" si="10">+I16-L16</f>
        <v>0</v>
      </c>
      <c r="P16" s="141">
        <f t="shared" si="8"/>
        <v>0</v>
      </c>
      <c r="Q16" s="145"/>
      <c r="R16" s="20"/>
      <c r="S16" s="20"/>
      <c r="T16" s="20"/>
      <c r="U16" s="20"/>
      <c r="V16" s="20">
        <f>+'[3]Tổng chi'!$H$12</f>
        <v>20609</v>
      </c>
      <c r="W16" s="20"/>
      <c r="X16" s="20"/>
      <c r="Y16" s="20">
        <f>+'[4]chi các CQ'!R10+'[4]chi các CQ'!R19+'[4]chi các CQ'!R30+'[4]chi các CQ'!R36+'[4]chi các CQ'!R45+'[4]chi các CQ'!R53+'[4]chi các CQ'!R59+'[4]chi các CQ'!R67+'[4]chi các CQ'!R93+'[4]chi các CQ'!R101+'[4]chi các CQ'!R111+'[4]chi các CQ'!R117</f>
        <v>0</v>
      </c>
      <c r="Z16" s="20"/>
      <c r="AA16" s="20">
        <f t="shared" ref="AA16:AA27" si="11">+AB16+AC16</f>
        <v>20609</v>
      </c>
      <c r="AB16" s="20">
        <f>+V16-Y16</f>
        <v>20609</v>
      </c>
      <c r="AC16" s="20">
        <f t="shared" ref="AC16:AC48" si="12">+W16-Z16</f>
        <v>0</v>
      </c>
      <c r="AD16" s="2"/>
    </row>
    <row r="17" spans="1:35" ht="20.100000000000001" hidden="1" customHeight="1" x14ac:dyDescent="0.3">
      <c r="A17" s="17" t="s">
        <v>59</v>
      </c>
      <c r="B17" s="18" t="s">
        <v>60</v>
      </c>
      <c r="C17" s="20">
        <v>18388</v>
      </c>
      <c r="D17" s="20"/>
      <c r="E17" s="20"/>
      <c r="F17" s="20"/>
      <c r="G17" s="20"/>
      <c r="H17" s="20">
        <f>+'[3]Tổng chi'!$H$13</f>
        <v>8841</v>
      </c>
      <c r="I17" s="20"/>
      <c r="J17" s="20"/>
      <c r="K17" s="20">
        <f>+'[4]chi các CQ'!D123</f>
        <v>107</v>
      </c>
      <c r="L17" s="20"/>
      <c r="M17" s="20">
        <f t="shared" si="9"/>
        <v>8734</v>
      </c>
      <c r="N17" s="20">
        <f t="shared" ref="N17:N54" si="13">+H17-K17</f>
        <v>8734</v>
      </c>
      <c r="O17" s="20">
        <f t="shared" si="10"/>
        <v>0</v>
      </c>
      <c r="P17" s="141">
        <f t="shared" si="8"/>
        <v>0</v>
      </c>
      <c r="Q17" s="18"/>
      <c r="R17" s="20"/>
      <c r="S17" s="20"/>
      <c r="T17" s="20"/>
      <c r="U17" s="20"/>
      <c r="V17" s="20">
        <f>+'[3]Tổng chi'!$H$13</f>
        <v>8841</v>
      </c>
      <c r="W17" s="20"/>
      <c r="X17" s="20"/>
      <c r="Y17" s="20">
        <f>+'[4]chi các CQ'!R123</f>
        <v>0</v>
      </c>
      <c r="Z17" s="20"/>
      <c r="AA17" s="20">
        <f t="shared" si="11"/>
        <v>8841</v>
      </c>
      <c r="AB17" s="20">
        <f t="shared" ref="AB17:AB19" si="14">+V17-Y17</f>
        <v>8841</v>
      </c>
      <c r="AC17" s="20">
        <f t="shared" si="12"/>
        <v>0</v>
      </c>
      <c r="AD17" s="2"/>
    </row>
    <row r="18" spans="1:35" ht="20.100000000000001" hidden="1" customHeight="1" x14ac:dyDescent="0.3">
      <c r="A18" s="17" t="s">
        <v>61</v>
      </c>
      <c r="B18" s="18" t="s">
        <v>62</v>
      </c>
      <c r="C18" s="20">
        <v>17951</v>
      </c>
      <c r="D18" s="20"/>
      <c r="E18" s="20"/>
      <c r="F18" s="20"/>
      <c r="G18" s="20"/>
      <c r="H18" s="20">
        <f>+'[3]Tổng chi'!$H$14</f>
        <v>4164</v>
      </c>
      <c r="I18" s="20"/>
      <c r="J18" s="20"/>
      <c r="K18" s="20">
        <f>+'[4]chi các CQ'!D137+'[4]chi các CQ'!D149+'[4]chi các CQ'!D156+'[4]chi các CQ'!D165+'[4]chi các CQ'!D173</f>
        <v>54</v>
      </c>
      <c r="L18" s="20"/>
      <c r="M18" s="20">
        <f t="shared" si="9"/>
        <v>4110</v>
      </c>
      <c r="N18" s="20">
        <f t="shared" si="13"/>
        <v>4110</v>
      </c>
      <c r="O18" s="20">
        <f t="shared" si="10"/>
        <v>0</v>
      </c>
      <c r="P18" s="141">
        <f t="shared" si="8"/>
        <v>0</v>
      </c>
      <c r="Q18" s="18"/>
      <c r="R18" s="20"/>
      <c r="S18" s="20"/>
      <c r="T18" s="20"/>
      <c r="U18" s="20"/>
      <c r="V18" s="20">
        <f>+'[3]Tổng chi'!$H$14</f>
        <v>4164</v>
      </c>
      <c r="W18" s="20"/>
      <c r="X18" s="20"/>
      <c r="Y18" s="20">
        <f>+'[4]chi các CQ'!R137+'[4]chi các CQ'!R149+'[4]chi các CQ'!R156+'[4]chi các CQ'!R165+'[4]chi các CQ'!R173</f>
        <v>0</v>
      </c>
      <c r="Z18" s="20"/>
      <c r="AA18" s="20">
        <f t="shared" si="11"/>
        <v>4164</v>
      </c>
      <c r="AB18" s="20">
        <f t="shared" si="14"/>
        <v>4164</v>
      </c>
      <c r="AC18" s="20">
        <f t="shared" si="12"/>
        <v>0</v>
      </c>
      <c r="AD18" s="2"/>
      <c r="AF18" s="2"/>
    </row>
    <row r="19" spans="1:35" ht="20.100000000000001" hidden="1" customHeight="1" x14ac:dyDescent="0.3">
      <c r="A19" s="17" t="s">
        <v>63</v>
      </c>
      <c r="B19" s="18" t="s">
        <v>64</v>
      </c>
      <c r="C19" s="20">
        <v>687</v>
      </c>
      <c r="D19" s="20"/>
      <c r="E19" s="20"/>
      <c r="F19" s="20"/>
      <c r="G19" s="20"/>
      <c r="H19" s="20">
        <f>+'[3]Tổng chi'!$H$15</f>
        <v>511</v>
      </c>
      <c r="I19" s="20"/>
      <c r="J19" s="20"/>
      <c r="K19" s="20"/>
      <c r="L19" s="20"/>
      <c r="M19" s="20">
        <f t="shared" si="9"/>
        <v>511</v>
      </c>
      <c r="N19" s="20">
        <f t="shared" si="13"/>
        <v>511</v>
      </c>
      <c r="O19" s="20">
        <f t="shared" si="10"/>
        <v>0</v>
      </c>
      <c r="P19" s="141">
        <f t="shared" si="8"/>
        <v>0</v>
      </c>
      <c r="Q19" s="18"/>
      <c r="R19" s="20"/>
      <c r="S19" s="20"/>
      <c r="T19" s="20"/>
      <c r="U19" s="20"/>
      <c r="V19" s="20">
        <f>+'[3]Tổng chi'!$H$15</f>
        <v>511</v>
      </c>
      <c r="W19" s="20"/>
      <c r="X19" s="20"/>
      <c r="Y19" s="20"/>
      <c r="Z19" s="20"/>
      <c r="AA19" s="20">
        <f t="shared" si="11"/>
        <v>511</v>
      </c>
      <c r="AB19" s="20">
        <f t="shared" si="14"/>
        <v>511</v>
      </c>
      <c r="AC19" s="20">
        <f t="shared" si="12"/>
        <v>0</v>
      </c>
      <c r="AD19" s="2"/>
    </row>
    <row r="20" spans="1:35" ht="20.100000000000001" customHeight="1" x14ac:dyDescent="0.3">
      <c r="A20" s="17"/>
      <c r="B20" s="18" t="s">
        <v>158</v>
      </c>
      <c r="C20" s="20"/>
      <c r="D20" s="20"/>
      <c r="E20" s="20"/>
      <c r="F20" s="20"/>
      <c r="G20" s="20"/>
      <c r="H20" s="20"/>
      <c r="I20" s="20"/>
      <c r="J20" s="20"/>
      <c r="K20" s="20"/>
      <c r="L20" s="20"/>
      <c r="M20" s="20"/>
      <c r="N20" s="20"/>
      <c r="O20" s="20"/>
      <c r="P20" s="141"/>
      <c r="Q20" s="18"/>
      <c r="R20" s="20"/>
      <c r="S20" s="20"/>
      <c r="T20" s="20"/>
      <c r="U20" s="20"/>
      <c r="V20" s="20"/>
      <c r="W20" s="20"/>
      <c r="X20" s="20"/>
      <c r="Y20" s="20"/>
      <c r="Z20" s="20"/>
      <c r="AA20" s="20"/>
      <c r="AB20" s="20"/>
      <c r="AC20" s="20"/>
      <c r="AD20" s="2"/>
      <c r="AI20" s="146">
        <f>0.5%+1</f>
        <v>1.0049999999999999</v>
      </c>
    </row>
    <row r="21" spans="1:35" ht="20.100000000000001" customHeight="1" x14ac:dyDescent="0.3">
      <c r="A21" s="147" t="s">
        <v>198</v>
      </c>
      <c r="B21" s="18" t="s">
        <v>58</v>
      </c>
      <c r="C21" s="20"/>
      <c r="D21" s="20"/>
      <c r="E21" s="20"/>
      <c r="F21" s="20"/>
      <c r="G21" s="20"/>
      <c r="H21" s="20"/>
      <c r="I21" s="20"/>
      <c r="J21" s="20"/>
      <c r="K21" s="20"/>
      <c r="L21" s="20"/>
      <c r="M21" s="20"/>
      <c r="N21" s="20"/>
      <c r="O21" s="20"/>
      <c r="P21" s="141"/>
      <c r="Q21" s="18"/>
      <c r="R21" s="20"/>
      <c r="S21" s="20"/>
      <c r="T21" s="20"/>
      <c r="U21" s="20"/>
      <c r="V21" s="20"/>
      <c r="W21" s="20"/>
      <c r="X21" s="20"/>
      <c r="Y21" s="20"/>
      <c r="Z21" s="20"/>
      <c r="AA21" s="20"/>
      <c r="AB21" s="20" t="e">
        <f>+#REF!-600</f>
        <v>#REF!</v>
      </c>
      <c r="AC21" s="20"/>
      <c r="AD21" s="2"/>
      <c r="AH21" s="21">
        <f>+AH14-AH11</f>
        <v>-0.80000000004656613</v>
      </c>
      <c r="AI21" s="96">
        <f>+S14/AI20</f>
        <v>528609.45273631846</v>
      </c>
    </row>
    <row r="22" spans="1:35" ht="20.100000000000001" customHeight="1" x14ac:dyDescent="0.3">
      <c r="A22" s="147" t="s">
        <v>198</v>
      </c>
      <c r="B22" s="18" t="s">
        <v>199</v>
      </c>
      <c r="C22" s="20"/>
      <c r="D22" s="20"/>
      <c r="E22" s="20"/>
      <c r="F22" s="20"/>
      <c r="G22" s="20"/>
      <c r="H22" s="20"/>
      <c r="I22" s="20"/>
      <c r="J22" s="20"/>
      <c r="K22" s="20"/>
      <c r="L22" s="20"/>
      <c r="M22" s="20"/>
      <c r="N22" s="20"/>
      <c r="O22" s="20"/>
      <c r="P22" s="141"/>
      <c r="Q22" s="18"/>
      <c r="R22" s="20"/>
      <c r="S22" s="20"/>
      <c r="T22" s="20"/>
      <c r="U22" s="20"/>
      <c r="V22" s="20"/>
      <c r="W22" s="20"/>
      <c r="X22" s="20"/>
      <c r="Y22" s="20"/>
      <c r="Z22" s="20"/>
      <c r="AA22" s="20"/>
      <c r="AB22" s="20" t="e">
        <f>+#REF!+#REF!-300</f>
        <v>#REF!</v>
      </c>
      <c r="AC22" s="20"/>
      <c r="AD22" s="2"/>
      <c r="AI22" s="21">
        <f>+S14-AI21</f>
        <v>2643.0472636815393</v>
      </c>
    </row>
    <row r="23" spans="1:35" ht="20.100000000000001" customHeight="1" x14ac:dyDescent="0.3">
      <c r="A23" s="147" t="s">
        <v>198</v>
      </c>
      <c r="B23" s="18" t="s">
        <v>200</v>
      </c>
      <c r="C23" s="20"/>
      <c r="D23" s="20"/>
      <c r="E23" s="20"/>
      <c r="F23" s="20"/>
      <c r="G23" s="20"/>
      <c r="H23" s="20"/>
      <c r="I23" s="20"/>
      <c r="J23" s="20"/>
      <c r="K23" s="20"/>
      <c r="L23" s="20"/>
      <c r="M23" s="20"/>
      <c r="N23" s="20"/>
      <c r="O23" s="20"/>
      <c r="P23" s="141"/>
      <c r="Q23" s="18"/>
      <c r="R23" s="20"/>
      <c r="S23" s="20"/>
      <c r="T23" s="20"/>
      <c r="U23" s="20"/>
      <c r="V23" s="20"/>
      <c r="W23" s="20"/>
      <c r="X23" s="20"/>
      <c r="Y23" s="20"/>
      <c r="Z23" s="20"/>
      <c r="AA23" s="20"/>
      <c r="AB23" s="20">
        <v>900</v>
      </c>
      <c r="AC23" s="20"/>
      <c r="AD23" s="2"/>
      <c r="AH23" s="21">
        <f>+AB14+AB49+AB50+AB54</f>
        <v>585781.80000000005</v>
      </c>
    </row>
    <row r="24" spans="1:35" ht="20.100000000000001" customHeight="1" x14ac:dyDescent="0.3">
      <c r="A24" s="147" t="s">
        <v>198</v>
      </c>
      <c r="B24" s="18" t="s">
        <v>201</v>
      </c>
      <c r="C24" s="20"/>
      <c r="D24" s="20"/>
      <c r="E24" s="20"/>
      <c r="F24" s="20"/>
      <c r="G24" s="20"/>
      <c r="H24" s="20"/>
      <c r="I24" s="20"/>
      <c r="J24" s="20"/>
      <c r="K24" s="20"/>
      <c r="L24" s="20"/>
      <c r="M24" s="20"/>
      <c r="N24" s="20"/>
      <c r="O24" s="20"/>
      <c r="P24" s="141"/>
      <c r="Q24" s="18"/>
      <c r="R24" s="20"/>
      <c r="S24" s="20"/>
      <c r="T24" s="20"/>
      <c r="U24" s="20"/>
      <c r="V24" s="20"/>
      <c r="W24" s="20"/>
      <c r="X24" s="20"/>
      <c r="Y24" s="20"/>
      <c r="Z24" s="20"/>
      <c r="AA24" s="20"/>
      <c r="AB24" s="20">
        <v>311</v>
      </c>
      <c r="AC24" s="20"/>
      <c r="AD24" s="2"/>
      <c r="AH24" s="21">
        <f>+AH23-AB51</f>
        <v>585781.80000000005</v>
      </c>
    </row>
    <row r="25" spans="1:35" ht="20.100000000000001" customHeight="1" x14ac:dyDescent="0.3">
      <c r="A25" s="17">
        <v>2</v>
      </c>
      <c r="B25" s="18" t="s">
        <v>65</v>
      </c>
      <c r="C25" s="20">
        <v>12751</v>
      </c>
      <c r="D25" s="20"/>
      <c r="E25" s="20"/>
      <c r="F25" s="20"/>
      <c r="G25" s="20">
        <f>+H25+I25</f>
        <v>10831.642839</v>
      </c>
      <c r="H25" s="20">
        <v>8113</v>
      </c>
      <c r="I25" s="20">
        <f>+'[4]Chi xã (NQ mới)'!DB39</f>
        <v>2718.6428390000005</v>
      </c>
      <c r="J25" s="20">
        <f>+K25+L25</f>
        <v>50</v>
      </c>
      <c r="K25" s="20">
        <v>50</v>
      </c>
      <c r="L25" s="20"/>
      <c r="M25" s="20">
        <f t="shared" si="9"/>
        <v>10781.642839</v>
      </c>
      <c r="N25" s="20">
        <f t="shared" si="13"/>
        <v>8063</v>
      </c>
      <c r="O25" s="20">
        <f t="shared" si="10"/>
        <v>2718.6428390000005</v>
      </c>
      <c r="P25" s="142">
        <f t="shared" si="8"/>
        <v>84.947398941259507</v>
      </c>
      <c r="Q25" s="148"/>
      <c r="R25" s="20"/>
      <c r="S25" s="20"/>
      <c r="T25" s="20"/>
      <c r="U25" s="20">
        <f>+V25+W25</f>
        <v>8113</v>
      </c>
      <c r="V25" s="20">
        <v>8113</v>
      </c>
      <c r="W25" s="20">
        <f>+'[4]Chi xã (NQ mới)'!DP39</f>
        <v>0</v>
      </c>
      <c r="X25" s="20">
        <f>+Y25+Z25</f>
        <v>50</v>
      </c>
      <c r="Y25" s="20">
        <v>50</v>
      </c>
      <c r="Z25" s="20"/>
      <c r="AA25" s="20">
        <f t="shared" si="11"/>
        <v>14324</v>
      </c>
      <c r="AB25" s="20">
        <v>12008.4</v>
      </c>
      <c r="AC25" s="20">
        <v>2315.6</v>
      </c>
      <c r="AD25" s="2"/>
      <c r="AF25" s="96">
        <f>692566-654</f>
        <v>691912</v>
      </c>
      <c r="AG25" s="96">
        <f>+AF25/5*6</f>
        <v>830294.39999999991</v>
      </c>
    </row>
    <row r="26" spans="1:35" ht="20.100000000000001" customHeight="1" x14ac:dyDescent="0.3">
      <c r="A26" s="17">
        <v>3</v>
      </c>
      <c r="B26" s="18" t="s">
        <v>66</v>
      </c>
      <c r="C26" s="20">
        <v>4010</v>
      </c>
      <c r="D26" s="20"/>
      <c r="E26" s="20"/>
      <c r="F26" s="20"/>
      <c r="G26" s="20">
        <f t="shared" ref="G26:G54" si="15">+H26+I26</f>
        <v>2012.6644399999998</v>
      </c>
      <c r="H26" s="20">
        <v>949</v>
      </c>
      <c r="I26" s="20">
        <f>+'[4]Chi xã (NQ mới)'!DB44</f>
        <v>1063.6644399999998</v>
      </c>
      <c r="J26" s="20">
        <f>+K26+L26</f>
        <v>47.45</v>
      </c>
      <c r="K26" s="20">
        <f>+H26*0.05</f>
        <v>47.45</v>
      </c>
      <c r="L26" s="20"/>
      <c r="M26" s="20">
        <f t="shared" si="9"/>
        <v>1965.2144399999997</v>
      </c>
      <c r="N26" s="20">
        <f t="shared" si="13"/>
        <v>901.55</v>
      </c>
      <c r="O26" s="20">
        <f t="shared" si="10"/>
        <v>1063.6644399999998</v>
      </c>
      <c r="P26" s="142">
        <f t="shared" si="8"/>
        <v>50.191133167082292</v>
      </c>
      <c r="Q26" s="148"/>
      <c r="R26" s="20"/>
      <c r="S26" s="20"/>
      <c r="T26" s="20"/>
      <c r="U26" s="20">
        <f t="shared" ref="U26:U33" si="16">+V26+W26</f>
        <v>949</v>
      </c>
      <c r="V26" s="20">
        <v>949</v>
      </c>
      <c r="W26" s="20">
        <f>+'[4]Chi xã (NQ mới)'!DP44</f>
        <v>0</v>
      </c>
      <c r="X26" s="20">
        <f>+Y26+Z26</f>
        <v>47.45</v>
      </c>
      <c r="Y26" s="20">
        <f>+V26*0.05</f>
        <v>47.45</v>
      </c>
      <c r="Z26" s="20"/>
      <c r="AA26" s="20">
        <f t="shared" si="11"/>
        <v>3283</v>
      </c>
      <c r="AB26" s="20">
        <v>2260.4</v>
      </c>
      <c r="AC26" s="20">
        <v>1022.6</v>
      </c>
      <c r="AD26" s="2">
        <f>+AD11-AD14</f>
        <v>219863</v>
      </c>
      <c r="AE26" s="2">
        <f>+AE11-AE14</f>
        <v>31170</v>
      </c>
      <c r="AF26" s="96">
        <f>122269-40</f>
        <v>122229</v>
      </c>
      <c r="AG26" s="96">
        <f>+AF26/5*6</f>
        <v>146674.79999999999</v>
      </c>
    </row>
    <row r="27" spans="1:35" ht="20.100000000000001" customHeight="1" x14ac:dyDescent="0.3">
      <c r="A27" s="17">
        <v>4</v>
      </c>
      <c r="B27" s="18" t="s">
        <v>67</v>
      </c>
      <c r="C27" s="20">
        <v>4551</v>
      </c>
      <c r="D27" s="20"/>
      <c r="E27" s="20"/>
      <c r="F27" s="20"/>
      <c r="G27" s="20">
        <f t="shared" si="15"/>
        <v>5987.6469999999999</v>
      </c>
      <c r="H27" s="20">
        <v>4339</v>
      </c>
      <c r="I27" s="20">
        <f>+'[4]Chi xã (NQ mới)'!DB47</f>
        <v>1648.6470000000002</v>
      </c>
      <c r="J27" s="20"/>
      <c r="K27" s="20"/>
      <c r="L27" s="20"/>
      <c r="M27" s="20">
        <f t="shared" si="9"/>
        <v>5987.6469999999999</v>
      </c>
      <c r="N27" s="20">
        <f t="shared" si="13"/>
        <v>4339</v>
      </c>
      <c r="O27" s="20">
        <f t="shared" si="10"/>
        <v>1648.6470000000002</v>
      </c>
      <c r="P27" s="142">
        <f t="shared" si="8"/>
        <v>131.56772137991649</v>
      </c>
      <c r="Q27" s="148"/>
      <c r="R27" s="20"/>
      <c r="S27" s="20"/>
      <c r="T27" s="20"/>
      <c r="U27" s="20">
        <f t="shared" si="16"/>
        <v>4339</v>
      </c>
      <c r="V27" s="20">
        <v>4339</v>
      </c>
      <c r="W27" s="20">
        <f>+'[4]Chi xã (NQ mới)'!DP47</f>
        <v>0</v>
      </c>
      <c r="X27" s="20"/>
      <c r="Y27" s="20"/>
      <c r="Z27" s="20"/>
      <c r="AA27" s="20">
        <f t="shared" si="11"/>
        <v>5789</v>
      </c>
      <c r="AB27" s="20">
        <v>3050</v>
      </c>
      <c r="AC27" s="20">
        <v>2739</v>
      </c>
      <c r="AD27" s="21"/>
      <c r="AE27" s="21"/>
      <c r="AF27" s="96">
        <f>+AF25+AF26</f>
        <v>814141</v>
      </c>
    </row>
    <row r="28" spans="1:35" ht="20.100000000000001" customHeight="1" x14ac:dyDescent="0.3">
      <c r="A28" s="17">
        <v>5</v>
      </c>
      <c r="B28" s="18" t="s">
        <v>68</v>
      </c>
      <c r="C28" s="20">
        <v>1649</v>
      </c>
      <c r="D28" s="20"/>
      <c r="E28" s="20"/>
      <c r="F28" s="20"/>
      <c r="G28" s="20">
        <f t="shared" si="15"/>
        <v>2707</v>
      </c>
      <c r="H28" s="20">
        <v>1392</v>
      </c>
      <c r="I28" s="20">
        <f>+'[4]Chi xã (NQ mới)'!DB50</f>
        <v>1315</v>
      </c>
      <c r="J28" s="20"/>
      <c r="K28" s="20"/>
      <c r="L28" s="20"/>
      <c r="M28" s="20">
        <f>+N28+O28</f>
        <v>2707</v>
      </c>
      <c r="N28" s="20">
        <f>+H28-K28</f>
        <v>1392</v>
      </c>
      <c r="O28" s="20">
        <f t="shared" si="10"/>
        <v>1315</v>
      </c>
      <c r="P28" s="142">
        <f t="shared" si="8"/>
        <v>164.16009702850212</v>
      </c>
      <c r="Q28" s="148"/>
      <c r="R28" s="20"/>
      <c r="S28" s="20"/>
      <c r="T28" s="20"/>
      <c r="U28" s="20">
        <f t="shared" si="16"/>
        <v>1392</v>
      </c>
      <c r="V28" s="20">
        <v>1392</v>
      </c>
      <c r="W28" s="20">
        <f>+'[4]Chi xã (NQ mới)'!DP50</f>
        <v>0</v>
      </c>
      <c r="X28" s="20"/>
      <c r="Y28" s="20"/>
      <c r="Z28" s="20"/>
      <c r="AA28" s="20">
        <f>+AB28+AC28</f>
        <v>2504</v>
      </c>
      <c r="AB28" s="20">
        <v>1320</v>
      </c>
      <c r="AC28" s="20">
        <v>1184</v>
      </c>
      <c r="AD28" s="21">
        <f>+AD26/N7*100</f>
        <v>11.889307002198715</v>
      </c>
      <c r="AE28" s="21">
        <f>+AE26/O7*100</f>
        <v>10.00910764728717</v>
      </c>
      <c r="AF28" s="96">
        <f>+AF27/5*6</f>
        <v>976969.20000000007</v>
      </c>
    </row>
    <row r="29" spans="1:35" ht="20.100000000000001" customHeight="1" x14ac:dyDescent="0.3">
      <c r="A29" s="17">
        <v>6</v>
      </c>
      <c r="B29" s="18" t="s">
        <v>69</v>
      </c>
      <c r="C29" s="20">
        <v>1683</v>
      </c>
      <c r="D29" s="20"/>
      <c r="E29" s="20"/>
      <c r="F29" s="20"/>
      <c r="G29" s="20">
        <f t="shared" si="15"/>
        <v>3209.3920399999997</v>
      </c>
      <c r="H29" s="20">
        <v>2037</v>
      </c>
      <c r="I29" s="20">
        <f>+'[4]Chi xã (NQ mới)'!DB53</f>
        <v>1172.39204</v>
      </c>
      <c r="J29" s="20"/>
      <c r="K29" s="20"/>
      <c r="L29" s="20"/>
      <c r="M29" s="20">
        <f t="shared" si="9"/>
        <v>3209.3920399999997</v>
      </c>
      <c r="N29" s="20">
        <f>+H29-K29</f>
        <v>2037</v>
      </c>
      <c r="O29" s="20">
        <f t="shared" si="10"/>
        <v>1172.39204</v>
      </c>
      <c r="P29" s="142">
        <f t="shared" si="8"/>
        <v>190.69471420083184</v>
      </c>
      <c r="Q29" s="148"/>
      <c r="R29" s="20"/>
      <c r="S29" s="20"/>
      <c r="T29" s="20"/>
      <c r="U29" s="20">
        <f t="shared" si="16"/>
        <v>2037</v>
      </c>
      <c r="V29" s="20">
        <v>2037</v>
      </c>
      <c r="W29" s="20">
        <f>+'[4]Chi xã (NQ mới)'!DP53</f>
        <v>0</v>
      </c>
      <c r="X29" s="20"/>
      <c r="Y29" s="20"/>
      <c r="Z29" s="20"/>
      <c r="AA29" s="20">
        <f t="shared" ref="AA29:AA48" si="17">+AB29+AC29</f>
        <v>1849</v>
      </c>
      <c r="AB29" s="20">
        <v>1289</v>
      </c>
      <c r="AC29" s="20">
        <v>560</v>
      </c>
      <c r="AD29" s="21" t="e">
        <f>+#REF!+304</f>
        <v>#REF!</v>
      </c>
      <c r="AF29" s="96">
        <f>+AF28/M8*100</f>
        <v>45.706847999597429</v>
      </c>
    </row>
    <row r="30" spans="1:35" ht="20.100000000000001" customHeight="1" x14ac:dyDescent="0.3">
      <c r="A30" s="17">
        <v>7</v>
      </c>
      <c r="B30" s="18" t="s">
        <v>70</v>
      </c>
      <c r="C30" s="20"/>
      <c r="D30" s="20"/>
      <c r="E30" s="20"/>
      <c r="F30" s="20"/>
      <c r="G30" s="20">
        <f t="shared" si="15"/>
        <v>22074</v>
      </c>
      <c r="H30" s="20">
        <f>10074+12000</f>
        <v>22074</v>
      </c>
      <c r="I30" s="20"/>
      <c r="J30" s="20"/>
      <c r="K30" s="20"/>
      <c r="L30" s="20"/>
      <c r="M30" s="20">
        <f t="shared" si="9"/>
        <v>22074</v>
      </c>
      <c r="N30" s="20">
        <f t="shared" si="13"/>
        <v>22074</v>
      </c>
      <c r="O30" s="20">
        <f t="shared" si="10"/>
        <v>0</v>
      </c>
      <c r="P30" s="142"/>
      <c r="Q30" s="148"/>
      <c r="R30" s="20"/>
      <c r="S30" s="20"/>
      <c r="T30" s="20"/>
      <c r="U30" s="20">
        <f t="shared" si="16"/>
        <v>22074</v>
      </c>
      <c r="V30" s="20">
        <f>10074+12000</f>
        <v>22074</v>
      </c>
      <c r="W30" s="20"/>
      <c r="X30" s="20"/>
      <c r="Y30" s="20"/>
      <c r="Z30" s="20"/>
      <c r="AA30" s="20">
        <f t="shared" si="17"/>
        <v>11317</v>
      </c>
      <c r="AB30" s="20">
        <v>11317</v>
      </c>
      <c r="AC30" s="20">
        <f t="shared" si="12"/>
        <v>0</v>
      </c>
      <c r="AE30" s="21"/>
    </row>
    <row r="31" spans="1:35" s="82" customFormat="1" ht="20.100000000000001" customHeight="1" x14ac:dyDescent="0.3">
      <c r="A31" s="149"/>
      <c r="B31" s="150" t="s">
        <v>71</v>
      </c>
      <c r="C31" s="151"/>
      <c r="D31" s="151"/>
      <c r="E31" s="151"/>
      <c r="F31" s="151"/>
      <c r="G31" s="151">
        <f t="shared" si="15"/>
        <v>12000</v>
      </c>
      <c r="H31" s="151">
        <v>12000</v>
      </c>
      <c r="I31" s="151"/>
      <c r="J31" s="151"/>
      <c r="K31" s="151"/>
      <c r="L31" s="151"/>
      <c r="M31" s="20">
        <f t="shared" si="9"/>
        <v>12000</v>
      </c>
      <c r="N31" s="20">
        <f t="shared" si="13"/>
        <v>12000</v>
      </c>
      <c r="O31" s="20">
        <f t="shared" si="10"/>
        <v>0</v>
      </c>
      <c r="P31" s="152"/>
      <c r="Q31" s="150"/>
      <c r="R31" s="151"/>
      <c r="S31" s="151"/>
      <c r="T31" s="151"/>
      <c r="U31" s="151">
        <f t="shared" si="16"/>
        <v>12000</v>
      </c>
      <c r="V31" s="151">
        <v>12000</v>
      </c>
      <c r="W31" s="151"/>
      <c r="X31" s="151"/>
      <c r="Y31" s="151"/>
      <c r="Z31" s="151"/>
      <c r="AA31" s="20">
        <f t="shared" si="17"/>
        <v>0</v>
      </c>
      <c r="AB31" s="20"/>
      <c r="AC31" s="20">
        <f t="shared" si="12"/>
        <v>0</v>
      </c>
      <c r="AE31" s="85">
        <v>629729</v>
      </c>
    </row>
    <row r="32" spans="1:35" ht="20.100000000000001" customHeight="1" x14ac:dyDescent="0.3">
      <c r="A32" s="17">
        <v>8</v>
      </c>
      <c r="B32" s="18" t="s">
        <v>202</v>
      </c>
      <c r="C32" s="20">
        <v>312321</v>
      </c>
      <c r="D32" s="20">
        <f>+E32+F32</f>
        <v>337724</v>
      </c>
      <c r="E32" s="21">
        <v>337724</v>
      </c>
      <c r="F32" s="20"/>
      <c r="G32" s="20">
        <f t="shared" si="15"/>
        <v>337724</v>
      </c>
      <c r="H32" s="20">
        <f>+E32</f>
        <v>337724</v>
      </c>
      <c r="I32" s="20"/>
      <c r="J32" s="20">
        <f>+K32+L32</f>
        <v>5798</v>
      </c>
      <c r="K32" s="20">
        <v>5798</v>
      </c>
      <c r="L32" s="20"/>
      <c r="M32" s="20">
        <f t="shared" si="9"/>
        <v>332441</v>
      </c>
      <c r="N32" s="21">
        <v>332441</v>
      </c>
      <c r="O32" s="20">
        <f t="shared" si="10"/>
        <v>0</v>
      </c>
      <c r="P32" s="142">
        <f t="shared" si="8"/>
        <v>108.13361893692708</v>
      </c>
      <c r="Q32" s="142">
        <f>+G32/D32*100</f>
        <v>100</v>
      </c>
      <c r="R32" s="20"/>
      <c r="S32" s="21">
        <v>345759</v>
      </c>
      <c r="T32" s="20"/>
      <c r="U32" s="20">
        <f t="shared" si="16"/>
        <v>345759</v>
      </c>
      <c r="V32" s="20">
        <f>+S32</f>
        <v>345759</v>
      </c>
      <c r="W32" s="20"/>
      <c r="X32" s="20">
        <f>+Y32+Z32</f>
        <v>5798</v>
      </c>
      <c r="Y32" s="20">
        <v>5798</v>
      </c>
      <c r="Z32" s="20"/>
      <c r="AA32" s="20">
        <f t="shared" si="17"/>
        <v>345759</v>
      </c>
      <c r="AB32" s="21">
        <v>345759</v>
      </c>
      <c r="AC32" s="20">
        <f t="shared" si="12"/>
        <v>0</v>
      </c>
      <c r="AE32" s="21" t="e">
        <f>+AE31-#REF!</f>
        <v>#REF!</v>
      </c>
    </row>
    <row r="33" spans="1:32" ht="20.100000000000001" customHeight="1" x14ac:dyDescent="0.3">
      <c r="A33" s="17">
        <v>9</v>
      </c>
      <c r="B33" s="18" t="s">
        <v>72</v>
      </c>
      <c r="C33" s="20">
        <v>270551</v>
      </c>
      <c r="D33" s="20"/>
      <c r="E33" s="20"/>
      <c r="F33" s="20"/>
      <c r="G33" s="20">
        <f t="shared" si="15"/>
        <v>68331.904599999994</v>
      </c>
      <c r="H33" s="20">
        <f>+'[3]Tổng chi'!$H$25</f>
        <v>62449</v>
      </c>
      <c r="I33" s="20">
        <f>+'[4]Chi xã (NQ mới)'!DB58</f>
        <v>5882.9045999999998</v>
      </c>
      <c r="J33" s="20">
        <f t="shared" ref="J33:J54" si="18">+K33+L33</f>
        <v>50</v>
      </c>
      <c r="K33" s="20">
        <v>50</v>
      </c>
      <c r="L33" s="20"/>
      <c r="M33" s="20">
        <f t="shared" si="9"/>
        <v>68281.904599999994</v>
      </c>
      <c r="N33" s="20">
        <f t="shared" si="13"/>
        <v>62399</v>
      </c>
      <c r="O33" s="20">
        <f t="shared" si="10"/>
        <v>5882.9045999999998</v>
      </c>
      <c r="P33" s="142">
        <f t="shared" si="8"/>
        <v>25.256570702011814</v>
      </c>
      <c r="Q33" s="148"/>
      <c r="R33" s="20"/>
      <c r="S33" s="20"/>
      <c r="T33" s="20"/>
      <c r="U33" s="20">
        <f t="shared" si="16"/>
        <v>62449</v>
      </c>
      <c r="V33" s="20">
        <f>+'[3]Tổng chi'!$H$25</f>
        <v>62449</v>
      </c>
      <c r="W33" s="20">
        <f>+'[4]Chi xã (NQ mới)'!DP58</f>
        <v>0</v>
      </c>
      <c r="X33" s="20">
        <f t="shared" ref="X33:X52" si="19">+Y33+Z33</f>
        <v>50</v>
      </c>
      <c r="Y33" s="20">
        <v>50</v>
      </c>
      <c r="Z33" s="20"/>
      <c r="AA33" s="20">
        <f t="shared" si="17"/>
        <v>56965</v>
      </c>
      <c r="AB33" s="20">
        <v>50984</v>
      </c>
      <c r="AC33" s="20">
        <v>5981</v>
      </c>
      <c r="AD33" s="21"/>
      <c r="AE33">
        <v>95938</v>
      </c>
      <c r="AF33" s="21"/>
    </row>
    <row r="34" spans="1:32" ht="20.100000000000001" customHeight="1" x14ac:dyDescent="0.3">
      <c r="A34" s="17">
        <v>10</v>
      </c>
      <c r="B34" s="18" t="s">
        <v>73</v>
      </c>
      <c r="C34" s="20">
        <v>56697</v>
      </c>
      <c r="D34" s="20"/>
      <c r="E34" s="20"/>
      <c r="F34" s="20"/>
      <c r="G34" s="20">
        <f>+H34+I34</f>
        <v>52200.822114000002</v>
      </c>
      <c r="H34" s="20">
        <f>SUM(H36,H38:H44)</f>
        <v>43595</v>
      </c>
      <c r="I34" s="20">
        <f>+'[4]Chi xã (NQ mới)'!DB63</f>
        <v>8605.8221140000005</v>
      </c>
      <c r="J34" s="20">
        <f t="shared" si="18"/>
        <v>570</v>
      </c>
      <c r="K34" s="20">
        <f>SUM(K36,K38:K44)</f>
        <v>570</v>
      </c>
      <c r="L34" s="20"/>
      <c r="M34" s="20">
        <f t="shared" si="9"/>
        <v>51630.822114000002</v>
      </c>
      <c r="N34" s="20">
        <f>SUM(N36,N38:N44)</f>
        <v>43025</v>
      </c>
      <c r="O34" s="20">
        <f t="shared" si="10"/>
        <v>8605.8221140000005</v>
      </c>
      <c r="P34" s="142">
        <f t="shared" si="8"/>
        <v>92.069813418699411</v>
      </c>
      <c r="Q34" s="148"/>
      <c r="R34" s="20"/>
      <c r="S34" s="20"/>
      <c r="T34" s="20"/>
      <c r="U34" s="20">
        <f>+V34+W34</f>
        <v>43595</v>
      </c>
      <c r="V34" s="20">
        <f>SUM(V36,V38:V44)</f>
        <v>43595</v>
      </c>
      <c r="W34" s="20">
        <f>+'[4]Chi xã (NQ mới)'!DP63</f>
        <v>0</v>
      </c>
      <c r="X34" s="20">
        <f t="shared" si="19"/>
        <v>570</v>
      </c>
      <c r="Y34" s="20">
        <f>SUM(Y36,Y38:Y44)</f>
        <v>570</v>
      </c>
      <c r="Z34" s="20"/>
      <c r="AA34" s="20">
        <f t="shared" si="17"/>
        <v>39209</v>
      </c>
      <c r="AB34" s="20">
        <f>SUM(AB36,AB38:AB44)-7000</f>
        <v>36025</v>
      </c>
      <c r="AC34" s="20">
        <v>3184</v>
      </c>
      <c r="AE34" s="21" t="e">
        <f>+AE33-#REF!</f>
        <v>#REF!</v>
      </c>
    </row>
    <row r="35" spans="1:32" s="82" customFormat="1" hidden="1" x14ac:dyDescent="0.3">
      <c r="A35" s="149"/>
      <c r="B35" s="150" t="s">
        <v>74</v>
      </c>
      <c r="C35" s="151"/>
      <c r="D35" s="151"/>
      <c r="E35" s="151"/>
      <c r="F35" s="151"/>
      <c r="G35" s="151"/>
      <c r="H35" s="151"/>
      <c r="I35" s="151"/>
      <c r="J35" s="20">
        <f t="shared" si="18"/>
        <v>0</v>
      </c>
      <c r="K35" s="151"/>
      <c r="L35" s="151"/>
      <c r="M35" s="20">
        <f t="shared" si="9"/>
        <v>0</v>
      </c>
      <c r="N35" s="20">
        <f t="shared" si="13"/>
        <v>0</v>
      </c>
      <c r="O35" s="20">
        <f t="shared" si="10"/>
        <v>0</v>
      </c>
      <c r="P35" s="152"/>
      <c r="Q35" s="150"/>
      <c r="R35" s="151"/>
      <c r="S35" s="151"/>
      <c r="T35" s="151"/>
      <c r="U35" s="151"/>
      <c r="V35" s="151"/>
      <c r="W35" s="151"/>
      <c r="X35" s="20">
        <f t="shared" si="19"/>
        <v>0</v>
      </c>
      <c r="Y35" s="151"/>
      <c r="Z35" s="151"/>
      <c r="AA35" s="20">
        <f t="shared" si="17"/>
        <v>0</v>
      </c>
      <c r="AB35" s="20">
        <f t="shared" ref="AB35:AB44" si="20">+V35-Y35</f>
        <v>0</v>
      </c>
      <c r="AC35" s="20">
        <f t="shared" si="12"/>
        <v>0</v>
      </c>
      <c r="AE35" s="85"/>
    </row>
    <row r="36" spans="1:32" s="82" customFormat="1" hidden="1" x14ac:dyDescent="0.3">
      <c r="A36" s="149" t="s">
        <v>16</v>
      </c>
      <c r="B36" s="153" t="s">
        <v>75</v>
      </c>
      <c r="C36" s="151"/>
      <c r="D36" s="151"/>
      <c r="E36" s="151"/>
      <c r="F36" s="151"/>
      <c r="G36" s="151"/>
      <c r="H36" s="151">
        <f>1500+1600</f>
        <v>3100</v>
      </c>
      <c r="I36" s="151"/>
      <c r="J36" s="20">
        <f t="shared" si="18"/>
        <v>50</v>
      </c>
      <c r="K36" s="151">
        <v>50</v>
      </c>
      <c r="L36" s="151"/>
      <c r="M36" s="20">
        <f t="shared" si="9"/>
        <v>3050</v>
      </c>
      <c r="N36" s="20">
        <f t="shared" si="13"/>
        <v>3050</v>
      </c>
      <c r="O36" s="20">
        <f t="shared" si="10"/>
        <v>0</v>
      </c>
      <c r="P36" s="152"/>
      <c r="Q36" s="150"/>
      <c r="R36" s="151"/>
      <c r="S36" s="151"/>
      <c r="T36" s="151"/>
      <c r="U36" s="151"/>
      <c r="V36" s="151">
        <f>1500+1600</f>
        <v>3100</v>
      </c>
      <c r="W36" s="151"/>
      <c r="X36" s="20">
        <f t="shared" si="19"/>
        <v>50</v>
      </c>
      <c r="Y36" s="151">
        <v>50</v>
      </c>
      <c r="Z36" s="151"/>
      <c r="AA36" s="20">
        <f t="shared" si="17"/>
        <v>3050</v>
      </c>
      <c r="AB36" s="20">
        <f t="shared" si="20"/>
        <v>3050</v>
      </c>
      <c r="AC36" s="20">
        <f t="shared" si="12"/>
        <v>0</v>
      </c>
      <c r="AE36" s="85"/>
    </row>
    <row r="37" spans="1:32" s="82" customFormat="1" ht="31.2" hidden="1" x14ac:dyDescent="0.3">
      <c r="A37" s="149"/>
      <c r="B37" s="154" t="s">
        <v>76</v>
      </c>
      <c r="C37" s="151"/>
      <c r="D37" s="151"/>
      <c r="E37" s="151"/>
      <c r="F37" s="151"/>
      <c r="G37" s="151"/>
      <c r="H37" s="151">
        <v>1600</v>
      </c>
      <c r="I37" s="151"/>
      <c r="J37" s="20">
        <f t="shared" si="18"/>
        <v>33</v>
      </c>
      <c r="K37" s="151">
        <v>33</v>
      </c>
      <c r="L37" s="151"/>
      <c r="M37" s="20">
        <f t="shared" si="9"/>
        <v>1567</v>
      </c>
      <c r="N37" s="20">
        <f t="shared" si="13"/>
        <v>1567</v>
      </c>
      <c r="O37" s="20">
        <f t="shared" si="10"/>
        <v>0</v>
      </c>
      <c r="P37" s="152"/>
      <c r="Q37" s="150"/>
      <c r="R37" s="151"/>
      <c r="S37" s="151"/>
      <c r="T37" s="151"/>
      <c r="U37" s="151"/>
      <c r="V37" s="151">
        <v>1600</v>
      </c>
      <c r="W37" s="151"/>
      <c r="X37" s="20">
        <f t="shared" si="19"/>
        <v>33</v>
      </c>
      <c r="Y37" s="151">
        <v>33</v>
      </c>
      <c r="Z37" s="151"/>
      <c r="AA37" s="20">
        <f t="shared" si="17"/>
        <v>1567</v>
      </c>
      <c r="AB37" s="20">
        <f t="shared" si="20"/>
        <v>1567</v>
      </c>
      <c r="AC37" s="20">
        <f t="shared" si="12"/>
        <v>0</v>
      </c>
      <c r="AE37" s="85"/>
    </row>
    <row r="38" spans="1:32" s="222" customFormat="1" ht="16.2" hidden="1" x14ac:dyDescent="0.35">
      <c r="A38" s="217" t="s">
        <v>18</v>
      </c>
      <c r="B38" s="218" t="s">
        <v>77</v>
      </c>
      <c r="C38" s="219"/>
      <c r="D38" s="219"/>
      <c r="E38" s="219"/>
      <c r="F38" s="219"/>
      <c r="G38" s="219"/>
      <c r="H38" s="219">
        <v>310</v>
      </c>
      <c r="I38" s="219"/>
      <c r="J38" s="155">
        <f t="shared" si="18"/>
        <v>0</v>
      </c>
      <c r="K38" s="219"/>
      <c r="L38" s="219"/>
      <c r="M38" s="155">
        <f t="shared" si="9"/>
        <v>310</v>
      </c>
      <c r="N38" s="155">
        <f t="shared" si="13"/>
        <v>310</v>
      </c>
      <c r="O38" s="155">
        <f t="shared" si="10"/>
        <v>0</v>
      </c>
      <c r="P38" s="220"/>
      <c r="Q38" s="221"/>
      <c r="R38" s="219"/>
      <c r="S38" s="219"/>
      <c r="T38" s="219"/>
      <c r="U38" s="219"/>
      <c r="V38" s="219">
        <v>310</v>
      </c>
      <c r="W38" s="219"/>
      <c r="X38" s="155">
        <f t="shared" si="19"/>
        <v>620</v>
      </c>
      <c r="Y38" s="219"/>
      <c r="Z38" s="219">
        <f>+AA38+AB38+AC38+AD38</f>
        <v>620</v>
      </c>
      <c r="AA38" s="155">
        <f t="shared" si="17"/>
        <v>310</v>
      </c>
      <c r="AB38" s="155">
        <f t="shared" si="20"/>
        <v>310</v>
      </c>
      <c r="AC38" s="155">
        <f>+AC39+AC40</f>
        <v>0</v>
      </c>
      <c r="AE38" s="223"/>
    </row>
    <row r="39" spans="1:32" s="82" customFormat="1" hidden="1" x14ac:dyDescent="0.3">
      <c r="A39" s="149" t="s">
        <v>78</v>
      </c>
      <c r="B39" s="153" t="s">
        <v>79</v>
      </c>
      <c r="C39" s="151"/>
      <c r="D39" s="151"/>
      <c r="E39" s="151"/>
      <c r="F39" s="151"/>
      <c r="G39" s="151"/>
      <c r="H39" s="151">
        <v>7500</v>
      </c>
      <c r="I39" s="151"/>
      <c r="J39" s="20">
        <f t="shared" si="18"/>
        <v>200</v>
      </c>
      <c r="K39" s="151">
        <v>200</v>
      </c>
      <c r="L39" s="151"/>
      <c r="M39" s="20">
        <f t="shared" si="9"/>
        <v>7300</v>
      </c>
      <c r="N39" s="20">
        <f t="shared" si="13"/>
        <v>7300</v>
      </c>
      <c r="O39" s="20">
        <f t="shared" si="10"/>
        <v>0</v>
      </c>
      <c r="P39" s="152"/>
      <c r="Q39" s="150"/>
      <c r="R39" s="151"/>
      <c r="S39" s="151"/>
      <c r="T39" s="151"/>
      <c r="U39" s="151"/>
      <c r="V39" s="151">
        <v>7500</v>
      </c>
      <c r="W39" s="151"/>
      <c r="X39" s="20">
        <f t="shared" si="19"/>
        <v>200</v>
      </c>
      <c r="Y39" s="151">
        <v>200</v>
      </c>
      <c r="Z39" s="151"/>
      <c r="AA39" s="20">
        <f t="shared" si="17"/>
        <v>7300</v>
      </c>
      <c r="AB39" s="20">
        <f t="shared" si="20"/>
        <v>7300</v>
      </c>
      <c r="AC39" s="20">
        <f t="shared" si="12"/>
        <v>0</v>
      </c>
      <c r="AE39" s="85"/>
    </row>
    <row r="40" spans="1:32" s="82" customFormat="1" ht="31.2" hidden="1" x14ac:dyDescent="0.3">
      <c r="A40" s="149" t="s">
        <v>80</v>
      </c>
      <c r="B40" s="154" t="s">
        <v>81</v>
      </c>
      <c r="C40" s="151"/>
      <c r="D40" s="151"/>
      <c r="E40" s="151"/>
      <c r="F40" s="151"/>
      <c r="G40" s="151"/>
      <c r="H40" s="151">
        <v>750</v>
      </c>
      <c r="I40" s="151"/>
      <c r="J40" s="20">
        <f t="shared" si="18"/>
        <v>0</v>
      </c>
      <c r="K40" s="151"/>
      <c r="L40" s="151"/>
      <c r="M40" s="20">
        <f t="shared" si="9"/>
        <v>750</v>
      </c>
      <c r="N40" s="20">
        <f t="shared" si="13"/>
        <v>750</v>
      </c>
      <c r="O40" s="20">
        <f t="shared" si="10"/>
        <v>0</v>
      </c>
      <c r="P40" s="152"/>
      <c r="Q40" s="150"/>
      <c r="R40" s="151"/>
      <c r="S40" s="151"/>
      <c r="T40" s="151"/>
      <c r="U40" s="151"/>
      <c r="V40" s="151">
        <v>750</v>
      </c>
      <c r="W40" s="151"/>
      <c r="X40" s="20">
        <f t="shared" si="19"/>
        <v>0</v>
      </c>
      <c r="Y40" s="151"/>
      <c r="Z40" s="151"/>
      <c r="AA40" s="20">
        <f t="shared" si="17"/>
        <v>750</v>
      </c>
      <c r="AB40" s="20">
        <f t="shared" si="20"/>
        <v>750</v>
      </c>
      <c r="AC40" s="20">
        <f t="shared" si="12"/>
        <v>0</v>
      </c>
      <c r="AE40" s="85"/>
      <c r="AF40" s="85"/>
    </row>
    <row r="41" spans="1:32" s="82" customFormat="1" ht="31.2" hidden="1" x14ac:dyDescent="0.3">
      <c r="A41" s="149" t="s">
        <v>82</v>
      </c>
      <c r="B41" s="154" t="s">
        <v>83</v>
      </c>
      <c r="C41" s="151"/>
      <c r="D41" s="151"/>
      <c r="E41" s="151"/>
      <c r="F41" s="151"/>
      <c r="G41" s="151"/>
      <c r="H41" s="151">
        <f>3500+17000</f>
        <v>20500</v>
      </c>
      <c r="I41" s="151"/>
      <c r="J41" s="20">
        <f t="shared" si="18"/>
        <v>300</v>
      </c>
      <c r="K41" s="151">
        <v>300</v>
      </c>
      <c r="L41" s="151"/>
      <c r="M41" s="20">
        <f t="shared" si="9"/>
        <v>20200</v>
      </c>
      <c r="N41" s="20">
        <f t="shared" si="13"/>
        <v>20200</v>
      </c>
      <c r="O41" s="20">
        <f t="shared" si="10"/>
        <v>0</v>
      </c>
      <c r="P41" s="152"/>
      <c r="Q41" s="150"/>
      <c r="R41" s="151"/>
      <c r="S41" s="151"/>
      <c r="T41" s="151"/>
      <c r="U41" s="151"/>
      <c r="V41" s="151">
        <f>3500+17000</f>
        <v>20500</v>
      </c>
      <c r="W41" s="151"/>
      <c r="X41" s="20">
        <f t="shared" si="19"/>
        <v>300</v>
      </c>
      <c r="Y41" s="151">
        <v>300</v>
      </c>
      <c r="Z41" s="151"/>
      <c r="AA41" s="20">
        <f t="shared" si="17"/>
        <v>20200</v>
      </c>
      <c r="AB41" s="20">
        <f t="shared" si="20"/>
        <v>20200</v>
      </c>
      <c r="AC41" s="20">
        <f t="shared" si="12"/>
        <v>0</v>
      </c>
      <c r="AE41" s="85"/>
    </row>
    <row r="42" spans="1:32" s="82" customFormat="1" ht="31.2" hidden="1" x14ac:dyDescent="0.3">
      <c r="A42" s="149" t="s">
        <v>84</v>
      </c>
      <c r="B42" s="154" t="s">
        <v>85</v>
      </c>
      <c r="C42" s="151"/>
      <c r="D42" s="151"/>
      <c r="E42" s="151"/>
      <c r="F42" s="151"/>
      <c r="G42" s="151"/>
      <c r="H42" s="151">
        <v>1621</v>
      </c>
      <c r="I42" s="151"/>
      <c r="J42" s="20">
        <f t="shared" si="18"/>
        <v>20</v>
      </c>
      <c r="K42" s="151">
        <v>20</v>
      </c>
      <c r="L42" s="151"/>
      <c r="M42" s="20">
        <f t="shared" si="9"/>
        <v>1601</v>
      </c>
      <c r="N42" s="20">
        <f t="shared" si="13"/>
        <v>1601</v>
      </c>
      <c r="O42" s="20">
        <f t="shared" si="10"/>
        <v>0</v>
      </c>
      <c r="P42" s="152"/>
      <c r="Q42" s="150"/>
      <c r="R42" s="151"/>
      <c r="S42" s="151"/>
      <c r="T42" s="151"/>
      <c r="U42" s="151"/>
      <c r="V42" s="151">
        <v>1621</v>
      </c>
      <c r="W42" s="151"/>
      <c r="X42" s="20">
        <f t="shared" si="19"/>
        <v>20</v>
      </c>
      <c r="Y42" s="151">
        <v>20</v>
      </c>
      <c r="Z42" s="151"/>
      <c r="AA42" s="20">
        <f t="shared" si="17"/>
        <v>1601</v>
      </c>
      <c r="AB42" s="20">
        <f t="shared" si="20"/>
        <v>1601</v>
      </c>
      <c r="AC42" s="20">
        <f t="shared" si="12"/>
        <v>0</v>
      </c>
      <c r="AE42" s="85"/>
    </row>
    <row r="43" spans="1:32" s="82" customFormat="1" ht="31.2" hidden="1" x14ac:dyDescent="0.3">
      <c r="A43" s="149" t="s">
        <v>86</v>
      </c>
      <c r="B43" s="154" t="s">
        <v>87</v>
      </c>
      <c r="C43" s="151"/>
      <c r="D43" s="151"/>
      <c r="E43" s="151"/>
      <c r="F43" s="151"/>
      <c r="G43" s="151"/>
      <c r="H43" s="151">
        <v>733</v>
      </c>
      <c r="I43" s="151"/>
      <c r="J43" s="20">
        <f t="shared" si="18"/>
        <v>0</v>
      </c>
      <c r="K43" s="151"/>
      <c r="L43" s="151"/>
      <c r="M43" s="20">
        <f t="shared" si="9"/>
        <v>733</v>
      </c>
      <c r="N43" s="20">
        <f t="shared" si="13"/>
        <v>733</v>
      </c>
      <c r="O43" s="20">
        <f t="shared" si="10"/>
        <v>0</v>
      </c>
      <c r="P43" s="152"/>
      <c r="Q43" s="150"/>
      <c r="R43" s="151"/>
      <c r="S43" s="151"/>
      <c r="T43" s="151"/>
      <c r="U43" s="151"/>
      <c r="V43" s="151">
        <v>733</v>
      </c>
      <c r="W43" s="151"/>
      <c r="X43" s="20">
        <f t="shared" si="19"/>
        <v>0</v>
      </c>
      <c r="Y43" s="151"/>
      <c r="Z43" s="151"/>
      <c r="AA43" s="20">
        <f t="shared" si="17"/>
        <v>733</v>
      </c>
      <c r="AB43" s="20">
        <f t="shared" si="20"/>
        <v>733</v>
      </c>
      <c r="AC43" s="20">
        <f t="shared" si="12"/>
        <v>0</v>
      </c>
      <c r="AE43" s="85"/>
    </row>
    <row r="44" spans="1:32" s="82" customFormat="1" hidden="1" x14ac:dyDescent="0.3">
      <c r="A44" s="149" t="s">
        <v>88</v>
      </c>
      <c r="B44" s="153" t="s">
        <v>89</v>
      </c>
      <c r="C44" s="151"/>
      <c r="D44" s="151"/>
      <c r="E44" s="151"/>
      <c r="F44" s="151"/>
      <c r="G44" s="151"/>
      <c r="H44" s="151">
        <v>9081</v>
      </c>
      <c r="I44" s="151"/>
      <c r="J44" s="20">
        <f t="shared" si="18"/>
        <v>0</v>
      </c>
      <c r="K44" s="151"/>
      <c r="L44" s="151"/>
      <c r="M44" s="20">
        <f t="shared" si="9"/>
        <v>9081</v>
      </c>
      <c r="N44" s="20">
        <f t="shared" si="13"/>
        <v>9081</v>
      </c>
      <c r="O44" s="20">
        <f t="shared" si="10"/>
        <v>0</v>
      </c>
      <c r="P44" s="152"/>
      <c r="Q44" s="150"/>
      <c r="R44" s="151"/>
      <c r="S44" s="151"/>
      <c r="T44" s="151"/>
      <c r="U44" s="151"/>
      <c r="V44" s="151">
        <v>9081</v>
      </c>
      <c r="W44" s="151"/>
      <c r="X44" s="20">
        <f t="shared" si="19"/>
        <v>0</v>
      </c>
      <c r="Y44" s="151"/>
      <c r="Z44" s="151"/>
      <c r="AA44" s="20">
        <f t="shared" si="17"/>
        <v>9081</v>
      </c>
      <c r="AB44" s="20">
        <f t="shared" si="20"/>
        <v>9081</v>
      </c>
      <c r="AC44" s="20">
        <f t="shared" si="12"/>
        <v>0</v>
      </c>
      <c r="AE44" s="85"/>
    </row>
    <row r="45" spans="1:32" ht="21" customHeight="1" x14ac:dyDescent="0.3">
      <c r="A45" s="17">
        <v>11</v>
      </c>
      <c r="B45" s="18" t="s">
        <v>90</v>
      </c>
      <c r="C45" s="20"/>
      <c r="D45" s="20"/>
      <c r="E45" s="20"/>
      <c r="F45" s="20"/>
      <c r="G45" s="20">
        <f t="shared" si="15"/>
        <v>7969</v>
      </c>
      <c r="H45" s="20">
        <f>8165-78-118</f>
        <v>7969</v>
      </c>
      <c r="I45" s="20"/>
      <c r="J45" s="20">
        <f t="shared" si="18"/>
        <v>0</v>
      </c>
      <c r="K45" s="20"/>
      <c r="L45" s="20"/>
      <c r="M45" s="20">
        <f t="shared" si="9"/>
        <v>7969</v>
      </c>
      <c r="N45" s="20">
        <f t="shared" si="13"/>
        <v>7969</v>
      </c>
      <c r="O45" s="20">
        <f t="shared" si="10"/>
        <v>0</v>
      </c>
      <c r="P45" s="142"/>
      <c r="Q45" s="148"/>
      <c r="R45" s="20"/>
      <c r="S45" s="20"/>
      <c r="T45" s="20"/>
      <c r="U45" s="20">
        <f t="shared" ref="U45:U49" si="21">+V45+W45</f>
        <v>7969</v>
      </c>
      <c r="V45" s="20">
        <f>8165-78-118</f>
        <v>7969</v>
      </c>
      <c r="W45" s="20"/>
      <c r="X45" s="20">
        <f t="shared" si="19"/>
        <v>0</v>
      </c>
      <c r="Y45" s="20"/>
      <c r="Z45" s="20"/>
      <c r="AA45" s="20">
        <f t="shared" si="17"/>
        <v>24586</v>
      </c>
      <c r="AB45" s="20">
        <f>-1300+15876+10010</f>
        <v>24586</v>
      </c>
      <c r="AC45" s="20">
        <f t="shared" si="12"/>
        <v>0</v>
      </c>
      <c r="AE45" s="21"/>
    </row>
    <row r="46" spans="1:32" ht="21" customHeight="1" x14ac:dyDescent="0.3">
      <c r="A46" s="17">
        <v>12</v>
      </c>
      <c r="B46" s="18" t="s">
        <v>203</v>
      </c>
      <c r="C46" s="20">
        <v>14278</v>
      </c>
      <c r="D46" s="20"/>
      <c r="E46" s="20"/>
      <c r="F46" s="20"/>
      <c r="G46" s="20">
        <f t="shared" si="15"/>
        <v>7411.6959999999999</v>
      </c>
      <c r="H46" s="20">
        <v>4382</v>
      </c>
      <c r="I46" s="20">
        <f>+'[4]Chi xã (NQ mới)'!DB68</f>
        <v>3029.6959999999999</v>
      </c>
      <c r="J46" s="20">
        <f t="shared" si="18"/>
        <v>0</v>
      </c>
      <c r="K46" s="20"/>
      <c r="L46" s="20"/>
      <c r="M46" s="20">
        <f t="shared" si="9"/>
        <v>7411.6959999999999</v>
      </c>
      <c r="N46" s="20">
        <f t="shared" si="13"/>
        <v>4382</v>
      </c>
      <c r="O46" s="20">
        <f t="shared" si="10"/>
        <v>3029.6959999999999</v>
      </c>
      <c r="P46" s="142">
        <f t="shared" si="8"/>
        <v>51.90990334780782</v>
      </c>
      <c r="Q46" s="148"/>
      <c r="R46" s="20"/>
      <c r="S46" s="20"/>
      <c r="T46" s="20"/>
      <c r="U46" s="20">
        <f t="shared" si="21"/>
        <v>4382</v>
      </c>
      <c r="V46" s="20">
        <v>4382</v>
      </c>
      <c r="W46" s="20">
        <f>+'[4]Chi xã (NQ mới)'!DP68</f>
        <v>0</v>
      </c>
      <c r="X46" s="20">
        <f t="shared" si="19"/>
        <v>0</v>
      </c>
      <c r="Y46" s="20"/>
      <c r="Z46" s="20"/>
      <c r="AA46" s="20">
        <f t="shared" si="17"/>
        <v>12737</v>
      </c>
      <c r="AB46" s="20">
        <v>11950</v>
      </c>
      <c r="AC46" s="20">
        <v>787</v>
      </c>
      <c r="AE46" s="21"/>
    </row>
    <row r="47" spans="1:32" ht="21" customHeight="1" x14ac:dyDescent="0.3">
      <c r="A47" s="17">
        <v>13</v>
      </c>
      <c r="B47" s="18" t="s">
        <v>91</v>
      </c>
      <c r="C47" s="20">
        <v>3039</v>
      </c>
      <c r="D47" s="20"/>
      <c r="E47" s="20"/>
      <c r="F47" s="20"/>
      <c r="G47" s="20">
        <f t="shared" si="15"/>
        <v>2922.9328261150004</v>
      </c>
      <c r="H47" s="20">
        <v>2408</v>
      </c>
      <c r="I47" s="20">
        <f>+'[4]Chi xã (NQ mới)'!DB76</f>
        <v>514.93282611500013</v>
      </c>
      <c r="J47" s="20">
        <f t="shared" si="18"/>
        <v>0</v>
      </c>
      <c r="K47" s="20"/>
      <c r="L47" s="20"/>
      <c r="M47" s="20">
        <f t="shared" si="9"/>
        <v>2922.9328261150004</v>
      </c>
      <c r="N47" s="20">
        <f t="shared" si="13"/>
        <v>2408</v>
      </c>
      <c r="O47" s="20">
        <f t="shared" si="10"/>
        <v>514.93282611500013</v>
      </c>
      <c r="P47" s="142">
        <f t="shared" si="8"/>
        <v>96.180744525008237</v>
      </c>
      <c r="Q47" s="148"/>
      <c r="R47" s="20"/>
      <c r="S47" s="20"/>
      <c r="T47" s="20"/>
      <c r="U47" s="20">
        <f t="shared" si="21"/>
        <v>2408</v>
      </c>
      <c r="V47" s="20">
        <v>2408</v>
      </c>
      <c r="W47" s="20">
        <f>+'[4]Chi xã (NQ mới)'!DP76</f>
        <v>0</v>
      </c>
      <c r="X47" s="20">
        <f t="shared" si="19"/>
        <v>0</v>
      </c>
      <c r="Y47" s="20"/>
      <c r="Z47" s="20"/>
      <c r="AA47" s="20">
        <f t="shared" si="17"/>
        <v>3057</v>
      </c>
      <c r="AB47" s="20">
        <v>2600</v>
      </c>
      <c r="AC47" s="20">
        <v>457</v>
      </c>
    </row>
    <row r="48" spans="1:32" ht="24.75" customHeight="1" x14ac:dyDescent="0.3">
      <c r="A48" s="17">
        <v>14</v>
      </c>
      <c r="B48" s="22" t="s">
        <v>197</v>
      </c>
      <c r="C48" s="20">
        <v>1200</v>
      </c>
      <c r="D48" s="20"/>
      <c r="E48" s="20"/>
      <c r="F48" s="20"/>
      <c r="G48" s="20">
        <f t="shared" si="15"/>
        <v>1500</v>
      </c>
      <c r="H48" s="20">
        <f>1200+300</f>
        <v>1500</v>
      </c>
      <c r="I48" s="20"/>
      <c r="J48" s="20">
        <f t="shared" si="18"/>
        <v>0</v>
      </c>
      <c r="K48" s="20"/>
      <c r="L48" s="20"/>
      <c r="M48" s="20">
        <f t="shared" si="9"/>
        <v>1500</v>
      </c>
      <c r="N48" s="20">
        <f t="shared" si="13"/>
        <v>1500</v>
      </c>
      <c r="O48" s="20">
        <f t="shared" si="10"/>
        <v>0</v>
      </c>
      <c r="P48" s="142">
        <f t="shared" si="8"/>
        <v>125</v>
      </c>
      <c r="Q48" s="148"/>
      <c r="R48" s="20"/>
      <c r="S48" s="20"/>
      <c r="T48" s="20"/>
      <c r="U48" s="20">
        <f t="shared" si="21"/>
        <v>1500</v>
      </c>
      <c r="V48" s="20">
        <f>1200+300</f>
        <v>1500</v>
      </c>
      <c r="W48" s="20"/>
      <c r="X48" s="20">
        <f t="shared" si="19"/>
        <v>0</v>
      </c>
      <c r="Y48" s="20"/>
      <c r="Z48" s="20"/>
      <c r="AA48" s="20">
        <f t="shared" si="17"/>
        <v>3000</v>
      </c>
      <c r="AB48" s="20">
        <v>3000</v>
      </c>
      <c r="AC48" s="20">
        <f t="shared" si="12"/>
        <v>0</v>
      </c>
    </row>
    <row r="49" spans="1:31" s="12" customFormat="1" ht="22.5" customHeight="1" x14ac:dyDescent="0.3">
      <c r="A49" s="13" t="s">
        <v>92</v>
      </c>
      <c r="B49" s="14" t="s">
        <v>93</v>
      </c>
      <c r="C49" s="15">
        <v>50268</v>
      </c>
      <c r="D49" s="15">
        <f>+E49+F49</f>
        <v>36324</v>
      </c>
      <c r="E49" s="15">
        <v>30929</v>
      </c>
      <c r="F49" s="15">
        <v>5395</v>
      </c>
      <c r="G49" s="15">
        <f t="shared" si="15"/>
        <v>36423.074902455752</v>
      </c>
      <c r="H49" s="15">
        <f>+'[3]Tổng chi'!$H$41</f>
        <v>30961</v>
      </c>
      <c r="I49" s="15">
        <f>+'[4]Chi xã (NQ mới)'!DB77</f>
        <v>5462.0749024557508</v>
      </c>
      <c r="J49" s="20">
        <f t="shared" si="18"/>
        <v>0</v>
      </c>
      <c r="K49" s="15"/>
      <c r="L49" s="15"/>
      <c r="M49" s="15">
        <f>+N49+O49</f>
        <v>36423.074902455752</v>
      </c>
      <c r="N49" s="15">
        <f>+H49</f>
        <v>30961</v>
      </c>
      <c r="O49" s="155">
        <f>+I49</f>
        <v>5462.0749024557508</v>
      </c>
      <c r="P49" s="141">
        <f t="shared" si="8"/>
        <v>72.45777612488213</v>
      </c>
      <c r="Q49" s="141">
        <f>+G49/D49*100</f>
        <v>100.2727532828316</v>
      </c>
      <c r="R49" s="15">
        <f>+S49+T49</f>
        <v>27741</v>
      </c>
      <c r="S49" s="15">
        <v>23716</v>
      </c>
      <c r="T49" s="15">
        <v>4025</v>
      </c>
      <c r="U49" s="15">
        <f t="shared" si="21"/>
        <v>30961</v>
      </c>
      <c r="V49" s="15">
        <f>+'[3]Tổng chi'!$H$41</f>
        <v>30961</v>
      </c>
      <c r="W49" s="15">
        <f>+'[4]Chi xã (NQ mới)'!DP77</f>
        <v>0</v>
      </c>
      <c r="X49" s="20">
        <f t="shared" si="19"/>
        <v>0</v>
      </c>
      <c r="Y49" s="15"/>
      <c r="Z49" s="15"/>
      <c r="AA49" s="15">
        <f>+AB49+AC49</f>
        <v>27741</v>
      </c>
      <c r="AB49" s="15">
        <v>23716</v>
      </c>
      <c r="AC49" s="155">
        <v>4025</v>
      </c>
      <c r="AE49" s="11"/>
    </row>
    <row r="50" spans="1:31" s="12" customFormat="1" ht="22.5" customHeight="1" x14ac:dyDescent="0.3">
      <c r="A50" s="13" t="s">
        <v>94</v>
      </c>
      <c r="B50" s="156" t="s">
        <v>95</v>
      </c>
      <c r="C50" s="15">
        <f>+C51+C52</f>
        <v>102739</v>
      </c>
      <c r="D50" s="15"/>
      <c r="E50" s="15"/>
      <c r="F50" s="15"/>
      <c r="G50" s="15">
        <f>+G51+G52</f>
        <v>61058.36809312574</v>
      </c>
      <c r="H50" s="15">
        <f>+H51+H52</f>
        <v>61058.36809312574</v>
      </c>
      <c r="I50" s="15"/>
      <c r="J50" s="20">
        <f t="shared" si="18"/>
        <v>0</v>
      </c>
      <c r="K50" s="15"/>
      <c r="L50" s="15"/>
      <c r="M50" s="15">
        <f t="shared" si="9"/>
        <v>61058.36809312574</v>
      </c>
      <c r="N50" s="15">
        <f>+H50-K50</f>
        <v>61058.36809312574</v>
      </c>
      <c r="O50" s="20">
        <f t="shared" si="10"/>
        <v>0</v>
      </c>
      <c r="P50" s="14"/>
      <c r="Q50" s="141"/>
      <c r="R50" s="15"/>
      <c r="S50" s="15"/>
      <c r="T50" s="15"/>
      <c r="U50" s="15">
        <f>+U51+U52</f>
        <v>4610</v>
      </c>
      <c r="V50" s="15">
        <f>+V51+V52</f>
        <v>4610</v>
      </c>
      <c r="W50" s="15"/>
      <c r="X50" s="20">
        <f t="shared" si="19"/>
        <v>0</v>
      </c>
      <c r="Y50" s="15"/>
      <c r="Z50" s="15"/>
      <c r="AA50" s="15">
        <f>+AA51</f>
        <v>0</v>
      </c>
      <c r="AB50" s="15">
        <f t="shared" ref="AB50:AC50" si="22">+AB51</f>
        <v>0</v>
      </c>
      <c r="AC50" s="15">
        <f t="shared" si="22"/>
        <v>0</v>
      </c>
    </row>
    <row r="51" spans="1:31" ht="21" customHeight="1" x14ac:dyDescent="0.3">
      <c r="A51" s="17">
        <v>1</v>
      </c>
      <c r="B51" s="18" t="s">
        <v>96</v>
      </c>
      <c r="C51" s="20">
        <v>57045</v>
      </c>
      <c r="D51" s="20"/>
      <c r="E51" s="20"/>
      <c r="F51" s="20"/>
      <c r="G51" s="20">
        <f t="shared" si="15"/>
        <v>56448.36809312574</v>
      </c>
      <c r="H51" s="20">
        <f>+'[4]Số BScân đối NSX'!E23</f>
        <v>56448.36809312574</v>
      </c>
      <c r="I51" s="20"/>
      <c r="J51" s="20">
        <f t="shared" si="18"/>
        <v>0</v>
      </c>
      <c r="K51" s="20"/>
      <c r="L51" s="20"/>
      <c r="M51" s="20">
        <f t="shared" si="9"/>
        <v>56448.36809312574</v>
      </c>
      <c r="N51" s="20">
        <f t="shared" si="13"/>
        <v>56448.36809312574</v>
      </c>
      <c r="O51" s="20">
        <f t="shared" si="10"/>
        <v>0</v>
      </c>
      <c r="P51" s="145">
        <f>+G51/C51*100</f>
        <v>98.954103064467944</v>
      </c>
      <c r="Q51" s="145">
        <f>+G51/C51*100</f>
        <v>98.954103064467944</v>
      </c>
      <c r="R51" s="20"/>
      <c r="S51" s="20"/>
      <c r="T51" s="20"/>
      <c r="U51" s="20">
        <f t="shared" ref="U51:U52" si="23">+V51+W51</f>
        <v>0</v>
      </c>
      <c r="V51" s="20">
        <f>+'[4]Số BScân đối NSX'!S23</f>
        <v>0</v>
      </c>
      <c r="W51" s="20"/>
      <c r="X51" s="20">
        <f t="shared" si="19"/>
        <v>0</v>
      </c>
      <c r="Y51" s="20"/>
      <c r="Z51" s="20"/>
      <c r="AA51" s="20">
        <f t="shared" ref="AA51:AA52" si="24">+AB51+AC51</f>
        <v>0</v>
      </c>
      <c r="AB51" s="20"/>
      <c r="AC51" s="20"/>
    </row>
    <row r="52" spans="1:31" ht="21" customHeight="1" x14ac:dyDescent="0.3">
      <c r="A52" s="17">
        <v>2</v>
      </c>
      <c r="B52" s="18" t="s">
        <v>42</v>
      </c>
      <c r="C52" s="20">
        <v>45694</v>
      </c>
      <c r="D52" s="20"/>
      <c r="E52" s="20"/>
      <c r="F52" s="20"/>
      <c r="G52" s="20">
        <f t="shared" si="15"/>
        <v>4610</v>
      </c>
      <c r="H52" s="20">
        <f>4610</f>
        <v>4610</v>
      </c>
      <c r="I52" s="20"/>
      <c r="J52" s="20">
        <f t="shared" si="18"/>
        <v>0</v>
      </c>
      <c r="K52" s="20"/>
      <c r="L52" s="20"/>
      <c r="M52" s="20">
        <f t="shared" si="9"/>
        <v>4610</v>
      </c>
      <c r="N52" s="20">
        <f t="shared" si="13"/>
        <v>4610</v>
      </c>
      <c r="O52" s="20">
        <f t="shared" si="10"/>
        <v>0</v>
      </c>
      <c r="P52" s="18"/>
      <c r="Q52" s="18"/>
      <c r="R52" s="20"/>
      <c r="S52" s="20"/>
      <c r="T52" s="20"/>
      <c r="U52" s="20">
        <f t="shared" si="23"/>
        <v>4610</v>
      </c>
      <c r="V52" s="20">
        <f>4610</f>
        <v>4610</v>
      </c>
      <c r="W52" s="20"/>
      <c r="X52" s="20">
        <f t="shared" si="19"/>
        <v>0</v>
      </c>
      <c r="Y52" s="20"/>
      <c r="Z52" s="20"/>
      <c r="AA52" s="20">
        <f t="shared" si="24"/>
        <v>0</v>
      </c>
      <c r="AB52" s="20"/>
      <c r="AC52" s="20"/>
    </row>
    <row r="53" spans="1:31" ht="21" customHeight="1" x14ac:dyDescent="0.3">
      <c r="A53" s="157">
        <v>3</v>
      </c>
      <c r="B53" s="158" t="s">
        <v>166</v>
      </c>
      <c r="C53" s="73"/>
      <c r="D53" s="73"/>
      <c r="E53" s="73"/>
      <c r="F53" s="73"/>
      <c r="G53" s="73"/>
      <c r="H53" s="73"/>
      <c r="I53" s="73"/>
      <c r="J53" s="73"/>
      <c r="K53" s="73"/>
      <c r="L53" s="73"/>
      <c r="M53" s="73"/>
      <c r="N53" s="73"/>
      <c r="O53" s="73"/>
      <c r="P53" s="18"/>
      <c r="Q53" s="18"/>
      <c r="R53" s="73"/>
      <c r="S53" s="73"/>
      <c r="T53" s="73"/>
      <c r="U53" s="73"/>
      <c r="V53" s="73"/>
      <c r="W53" s="73"/>
      <c r="X53" s="73"/>
      <c r="Y53" s="73"/>
      <c r="Z53" s="73"/>
      <c r="AA53" s="73"/>
      <c r="AB53" s="73"/>
      <c r="AC53" s="73"/>
    </row>
    <row r="54" spans="1:31" s="12" customFormat="1" ht="21.75" customHeight="1" x14ac:dyDescent="0.3">
      <c r="A54" s="159" t="s">
        <v>97</v>
      </c>
      <c r="B54" s="160" t="s">
        <v>98</v>
      </c>
      <c r="C54" s="161">
        <v>16814</v>
      </c>
      <c r="D54" s="161">
        <f>+E54+F54</f>
        <v>27808</v>
      </c>
      <c r="E54" s="161">
        <v>23198</v>
      </c>
      <c r="F54" s="161">
        <v>4610</v>
      </c>
      <c r="G54" s="161">
        <f t="shared" si="15"/>
        <v>23198.400000000001</v>
      </c>
      <c r="H54" s="161">
        <f>+E54-H52</f>
        <v>18588</v>
      </c>
      <c r="I54" s="161">
        <f>+'[4]Chi xã (NQ mới)'!DB78</f>
        <v>4610.4000000000005</v>
      </c>
      <c r="J54" s="91">
        <f t="shared" si="18"/>
        <v>0</v>
      </c>
      <c r="K54" s="161"/>
      <c r="L54" s="161"/>
      <c r="M54" s="161">
        <f t="shared" si="9"/>
        <v>23198.400000000001</v>
      </c>
      <c r="N54" s="161">
        <f t="shared" si="13"/>
        <v>18588</v>
      </c>
      <c r="O54" s="161">
        <f t="shared" si="10"/>
        <v>4610.4000000000005</v>
      </c>
      <c r="P54" s="14"/>
      <c r="Q54" s="142">
        <f>+G54/D54*100</f>
        <v>83.423475258918302</v>
      </c>
      <c r="R54" s="161">
        <f>+S54+T54</f>
        <v>37901</v>
      </c>
      <c r="S54" s="161">
        <v>30813</v>
      </c>
      <c r="T54" s="161">
        <v>7088</v>
      </c>
      <c r="U54" s="161">
        <f t="shared" ref="U54" si="25">+V54+W54</f>
        <v>26203</v>
      </c>
      <c r="V54" s="161">
        <f>+S54-V52</f>
        <v>26203</v>
      </c>
      <c r="W54" s="161">
        <f>+'[4]Chi xã (NQ mới)'!DP78</f>
        <v>0</v>
      </c>
      <c r="X54" s="91">
        <f t="shared" ref="X54" si="26">+Y54+Z54</f>
        <v>0</v>
      </c>
      <c r="Y54" s="161"/>
      <c r="Z54" s="161"/>
      <c r="AA54" s="161">
        <f t="shared" ref="AA54" si="27">+AB54+AC54</f>
        <v>37901</v>
      </c>
      <c r="AB54" s="161">
        <v>30813</v>
      </c>
      <c r="AC54" s="161">
        <v>7088</v>
      </c>
    </row>
  </sheetData>
  <mergeCells count="15">
    <mergeCell ref="X5:Z5"/>
    <mergeCell ref="AA5:AC5"/>
    <mergeCell ref="A2:AC2"/>
    <mergeCell ref="A5:A6"/>
    <mergeCell ref="B5:B6"/>
    <mergeCell ref="C5:C6"/>
    <mergeCell ref="D5:F5"/>
    <mergeCell ref="G5:I5"/>
    <mergeCell ref="J5:L5"/>
    <mergeCell ref="M5:O5"/>
    <mergeCell ref="P5:Q5"/>
    <mergeCell ref="R5:T5"/>
    <mergeCell ref="U5:W5"/>
    <mergeCell ref="A3:AC3"/>
    <mergeCell ref="AB4:AC4"/>
  </mergeCells>
  <pageMargins left="0.45" right="0.25" top="0.5" bottom="0" header="0.3" footer="0.3"/>
  <pageSetup paperSize="9"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8"/>
  <sheetViews>
    <sheetView view="pageBreakPreview" zoomScale="85" zoomScaleNormal="100" zoomScaleSheetLayoutView="85" workbookViewId="0">
      <selection sqref="A1:B1"/>
    </sheetView>
  </sheetViews>
  <sheetFormatPr defaultColWidth="8.59765625" defaultRowHeight="15.6" x14ac:dyDescent="0.3"/>
  <cols>
    <col min="1" max="1" width="4.19921875" style="97" customWidth="1"/>
    <col min="2" max="2" width="18" style="107" customWidth="1"/>
    <col min="3" max="3" width="13.3984375" style="204" customWidth="1"/>
    <col min="4" max="4" width="10" style="204" customWidth="1"/>
    <col min="5" max="5" width="10.19921875" style="204" customWidth="1"/>
    <col min="6" max="6" width="10.09765625" style="204" customWidth="1"/>
    <col min="7" max="7" width="8.59765625" style="204" customWidth="1"/>
    <col min="8" max="9" width="7.59765625" style="204" customWidth="1"/>
    <col min="10" max="10" width="6.59765625" style="204" customWidth="1"/>
    <col min="11" max="11" width="7.59765625" style="204" customWidth="1"/>
    <col min="12" max="12" width="6.5" style="204" customWidth="1"/>
    <col min="13" max="13" width="6.19921875" style="204" customWidth="1"/>
    <col min="14" max="14" width="6.59765625" style="204" customWidth="1"/>
    <col min="15" max="15" width="5.19921875" style="204" customWidth="1"/>
    <col min="16" max="16" width="6.59765625" style="204" customWidth="1"/>
    <col min="17" max="22" width="7.59765625" style="204" customWidth="1"/>
    <col min="23" max="24" width="8.5" style="204" customWidth="1"/>
    <col min="25" max="25" width="8.19921875" style="204" customWidth="1"/>
    <col min="26" max="26" width="8.09765625" style="204" customWidth="1"/>
    <col min="27" max="27" width="5.09765625" style="204" customWidth="1"/>
    <col min="28" max="28" width="6.69921875" style="204" customWidth="1"/>
    <col min="29" max="29" width="7.69921875" style="204" customWidth="1"/>
    <col min="30" max="30" width="11.8984375" style="204" customWidth="1"/>
    <col min="31" max="31" width="10.09765625" style="204" customWidth="1"/>
    <col min="32" max="33" width="9.19921875" style="204" customWidth="1"/>
    <col min="34" max="36" width="8.59765625" style="97" customWidth="1"/>
    <col min="37" max="37" width="10.8984375" style="97" customWidth="1"/>
    <col min="38" max="39" width="8.59765625" style="97" customWidth="1"/>
    <col min="40" max="40" width="10.59765625" style="97" customWidth="1"/>
    <col min="41" max="41" width="8.59765625" style="97" customWidth="1"/>
    <col min="42" max="251" width="8.59765625" style="97"/>
    <col min="252" max="252" width="7.8984375" style="97" customWidth="1"/>
    <col min="253" max="253" width="23.59765625" style="97" customWidth="1"/>
    <col min="254" max="255" width="14.3984375" style="97" customWidth="1"/>
    <col min="256" max="256" width="12" style="97" customWidth="1"/>
    <col min="257" max="257" width="4.19921875" style="108" customWidth="1"/>
    <col min="258" max="258" width="18" style="108" customWidth="1"/>
    <col min="259" max="259" width="13.3984375" style="108" customWidth="1"/>
    <col min="260" max="260" width="10" style="108" customWidth="1"/>
    <col min="261" max="261" width="10.19921875" style="108" customWidth="1"/>
    <col min="262" max="262" width="10.09765625" style="108" customWidth="1"/>
    <col min="263" max="263" width="8.59765625" style="108" customWidth="1"/>
    <col min="264" max="265" width="7.59765625" style="108" customWidth="1"/>
    <col min="266" max="266" width="6.59765625" style="108" customWidth="1"/>
    <col min="267" max="267" width="7.59765625" style="108" customWidth="1"/>
    <col min="268" max="269" width="13.69921875" style="108" customWidth="1"/>
    <col min="270" max="270" width="6.59765625" style="108" customWidth="1"/>
    <col min="271" max="271" width="5.19921875" style="108" customWidth="1"/>
    <col min="272" max="272" width="6.59765625" style="108" customWidth="1"/>
    <col min="273" max="278" width="7.59765625" style="108" customWidth="1"/>
    <col min="279" max="280" width="8.5" style="108" customWidth="1"/>
    <col min="281" max="281" width="8.19921875" style="108" customWidth="1"/>
    <col min="282" max="282" width="8.09765625" style="108" customWidth="1"/>
    <col min="283" max="283" width="5.09765625" style="108" customWidth="1"/>
    <col min="284" max="284" width="6.69921875" style="108" customWidth="1"/>
    <col min="285" max="285" width="7.69921875" style="108" customWidth="1"/>
    <col min="286" max="286" width="11.8984375" style="108" customWidth="1"/>
    <col min="287" max="287" width="17.5" style="108" customWidth="1"/>
    <col min="288" max="289" width="9.19921875" style="108" customWidth="1"/>
    <col min="290" max="292" width="8.59765625" style="108" customWidth="1"/>
    <col min="293" max="293" width="10.8984375" style="108" customWidth="1"/>
    <col min="294" max="295" width="8.59765625" style="108" customWidth="1"/>
    <col min="296" max="296" width="10.59765625" style="108" customWidth="1"/>
    <col min="297" max="297" width="8.59765625" style="108" customWidth="1"/>
    <col min="298" max="507" width="8.59765625" style="108"/>
    <col min="508" max="508" width="7.8984375" style="108" customWidth="1"/>
    <col min="509" max="509" width="23.59765625" style="108" customWidth="1"/>
    <col min="510" max="511" width="14.3984375" style="108" customWidth="1"/>
    <col min="512" max="512" width="12" style="108" customWidth="1"/>
    <col min="513" max="513" width="4.19921875" style="108" customWidth="1"/>
    <col min="514" max="514" width="18" style="108" customWidth="1"/>
    <col min="515" max="515" width="13.3984375" style="108" customWidth="1"/>
    <col min="516" max="516" width="10" style="108" customWidth="1"/>
    <col min="517" max="517" width="10.19921875" style="108" customWidth="1"/>
    <col min="518" max="518" width="10.09765625" style="108" customWidth="1"/>
    <col min="519" max="519" width="8.59765625" style="108" customWidth="1"/>
    <col min="520" max="521" width="7.59765625" style="108" customWidth="1"/>
    <col min="522" max="522" width="6.59765625" style="108" customWidth="1"/>
    <col min="523" max="523" width="7.59765625" style="108" customWidth="1"/>
    <col min="524" max="525" width="13.69921875" style="108" customWidth="1"/>
    <col min="526" max="526" width="6.59765625" style="108" customWidth="1"/>
    <col min="527" max="527" width="5.19921875" style="108" customWidth="1"/>
    <col min="528" max="528" width="6.59765625" style="108" customWidth="1"/>
    <col min="529" max="534" width="7.59765625" style="108" customWidth="1"/>
    <col min="535" max="536" width="8.5" style="108" customWidth="1"/>
    <col min="537" max="537" width="8.19921875" style="108" customWidth="1"/>
    <col min="538" max="538" width="8.09765625" style="108" customWidth="1"/>
    <col min="539" max="539" width="5.09765625" style="108" customWidth="1"/>
    <col min="540" max="540" width="6.69921875" style="108" customWidth="1"/>
    <col min="541" max="541" width="7.69921875" style="108" customWidth="1"/>
    <col min="542" max="542" width="11.8984375" style="108" customWidth="1"/>
    <col min="543" max="543" width="17.5" style="108" customWidth="1"/>
    <col min="544" max="545" width="9.19921875" style="108" customWidth="1"/>
    <col min="546" max="548" width="8.59765625" style="108" customWidth="1"/>
    <col min="549" max="549" width="10.8984375" style="108" customWidth="1"/>
    <col min="550" max="551" width="8.59765625" style="108" customWidth="1"/>
    <col min="552" max="552" width="10.59765625" style="108" customWidth="1"/>
    <col min="553" max="553" width="8.59765625" style="108" customWidth="1"/>
    <col min="554" max="763" width="8.59765625" style="108"/>
    <col min="764" max="764" width="7.8984375" style="108" customWidth="1"/>
    <col min="765" max="765" width="23.59765625" style="108" customWidth="1"/>
    <col min="766" max="767" width="14.3984375" style="108" customWidth="1"/>
    <col min="768" max="768" width="12" style="108" customWidth="1"/>
    <col min="769" max="769" width="4.19921875" style="108" customWidth="1"/>
    <col min="770" max="770" width="18" style="108" customWidth="1"/>
    <col min="771" max="771" width="13.3984375" style="108" customWidth="1"/>
    <col min="772" max="772" width="10" style="108" customWidth="1"/>
    <col min="773" max="773" width="10.19921875" style="108" customWidth="1"/>
    <col min="774" max="774" width="10.09765625" style="108" customWidth="1"/>
    <col min="775" max="775" width="8.59765625" style="108" customWidth="1"/>
    <col min="776" max="777" width="7.59765625" style="108" customWidth="1"/>
    <col min="778" max="778" width="6.59765625" style="108" customWidth="1"/>
    <col min="779" max="779" width="7.59765625" style="108" customWidth="1"/>
    <col min="780" max="781" width="13.69921875" style="108" customWidth="1"/>
    <col min="782" max="782" width="6.59765625" style="108" customWidth="1"/>
    <col min="783" max="783" width="5.19921875" style="108" customWidth="1"/>
    <col min="784" max="784" width="6.59765625" style="108" customWidth="1"/>
    <col min="785" max="790" width="7.59765625" style="108" customWidth="1"/>
    <col min="791" max="792" width="8.5" style="108" customWidth="1"/>
    <col min="793" max="793" width="8.19921875" style="108" customWidth="1"/>
    <col min="794" max="794" width="8.09765625" style="108" customWidth="1"/>
    <col min="795" max="795" width="5.09765625" style="108" customWidth="1"/>
    <col min="796" max="796" width="6.69921875" style="108" customWidth="1"/>
    <col min="797" max="797" width="7.69921875" style="108" customWidth="1"/>
    <col min="798" max="798" width="11.8984375" style="108" customWidth="1"/>
    <col min="799" max="799" width="17.5" style="108" customWidth="1"/>
    <col min="800" max="801" width="9.19921875" style="108" customWidth="1"/>
    <col min="802" max="804" width="8.59765625" style="108" customWidth="1"/>
    <col min="805" max="805" width="10.8984375" style="108" customWidth="1"/>
    <col min="806" max="807" width="8.59765625" style="108" customWidth="1"/>
    <col min="808" max="808" width="10.59765625" style="108" customWidth="1"/>
    <col min="809" max="809" width="8.59765625" style="108" customWidth="1"/>
    <col min="810" max="1019" width="8.59765625" style="108"/>
    <col min="1020" max="1020" width="7.8984375" style="108" customWidth="1"/>
    <col min="1021" max="1021" width="23.59765625" style="108" customWidth="1"/>
    <col min="1022" max="1023" width="14.3984375" style="108" customWidth="1"/>
    <col min="1024" max="1024" width="12" style="108" customWidth="1"/>
    <col min="1025" max="1025" width="4.19921875" style="108" customWidth="1"/>
    <col min="1026" max="1026" width="18" style="108" customWidth="1"/>
    <col min="1027" max="1027" width="13.3984375" style="108" customWidth="1"/>
    <col min="1028" max="1028" width="10" style="108" customWidth="1"/>
    <col min="1029" max="1029" width="10.19921875" style="108" customWidth="1"/>
    <col min="1030" max="1030" width="10.09765625" style="108" customWidth="1"/>
    <col min="1031" max="1031" width="8.59765625" style="108" customWidth="1"/>
    <col min="1032" max="1033" width="7.59765625" style="108" customWidth="1"/>
    <col min="1034" max="1034" width="6.59765625" style="108" customWidth="1"/>
    <col min="1035" max="1035" width="7.59765625" style="108" customWidth="1"/>
    <col min="1036" max="1037" width="13.69921875" style="108" customWidth="1"/>
    <col min="1038" max="1038" width="6.59765625" style="108" customWidth="1"/>
    <col min="1039" max="1039" width="5.19921875" style="108" customWidth="1"/>
    <col min="1040" max="1040" width="6.59765625" style="108" customWidth="1"/>
    <col min="1041" max="1046" width="7.59765625" style="108" customWidth="1"/>
    <col min="1047" max="1048" width="8.5" style="108" customWidth="1"/>
    <col min="1049" max="1049" width="8.19921875" style="108" customWidth="1"/>
    <col min="1050" max="1050" width="8.09765625" style="108" customWidth="1"/>
    <col min="1051" max="1051" width="5.09765625" style="108" customWidth="1"/>
    <col min="1052" max="1052" width="6.69921875" style="108" customWidth="1"/>
    <col min="1053" max="1053" width="7.69921875" style="108" customWidth="1"/>
    <col min="1054" max="1054" width="11.8984375" style="108" customWidth="1"/>
    <col min="1055" max="1055" width="17.5" style="108" customWidth="1"/>
    <col min="1056" max="1057" width="9.19921875" style="108" customWidth="1"/>
    <col min="1058" max="1060" width="8.59765625" style="108" customWidth="1"/>
    <col min="1061" max="1061" width="10.8984375" style="108" customWidth="1"/>
    <col min="1062" max="1063" width="8.59765625" style="108" customWidth="1"/>
    <col min="1064" max="1064" width="10.59765625" style="108" customWidth="1"/>
    <col min="1065" max="1065" width="8.59765625" style="108" customWidth="1"/>
    <col min="1066" max="1275" width="8.59765625" style="108"/>
    <col min="1276" max="1276" width="7.8984375" style="108" customWidth="1"/>
    <col min="1277" max="1277" width="23.59765625" style="108" customWidth="1"/>
    <col min="1278" max="1279" width="14.3984375" style="108" customWidth="1"/>
    <col min="1280" max="1280" width="12" style="108" customWidth="1"/>
    <col min="1281" max="1281" width="4.19921875" style="108" customWidth="1"/>
    <col min="1282" max="1282" width="18" style="108" customWidth="1"/>
    <col min="1283" max="1283" width="13.3984375" style="108" customWidth="1"/>
    <col min="1284" max="1284" width="10" style="108" customWidth="1"/>
    <col min="1285" max="1285" width="10.19921875" style="108" customWidth="1"/>
    <col min="1286" max="1286" width="10.09765625" style="108" customWidth="1"/>
    <col min="1287" max="1287" width="8.59765625" style="108" customWidth="1"/>
    <col min="1288" max="1289" width="7.59765625" style="108" customWidth="1"/>
    <col min="1290" max="1290" width="6.59765625" style="108" customWidth="1"/>
    <col min="1291" max="1291" width="7.59765625" style="108" customWidth="1"/>
    <col min="1292" max="1293" width="13.69921875" style="108" customWidth="1"/>
    <col min="1294" max="1294" width="6.59765625" style="108" customWidth="1"/>
    <col min="1295" max="1295" width="5.19921875" style="108" customWidth="1"/>
    <col min="1296" max="1296" width="6.59765625" style="108" customWidth="1"/>
    <col min="1297" max="1302" width="7.59765625" style="108" customWidth="1"/>
    <col min="1303" max="1304" width="8.5" style="108" customWidth="1"/>
    <col min="1305" max="1305" width="8.19921875" style="108" customWidth="1"/>
    <col min="1306" max="1306" width="8.09765625" style="108" customWidth="1"/>
    <col min="1307" max="1307" width="5.09765625" style="108" customWidth="1"/>
    <col min="1308" max="1308" width="6.69921875" style="108" customWidth="1"/>
    <col min="1309" max="1309" width="7.69921875" style="108" customWidth="1"/>
    <col min="1310" max="1310" width="11.8984375" style="108" customWidth="1"/>
    <col min="1311" max="1311" width="17.5" style="108" customWidth="1"/>
    <col min="1312" max="1313" width="9.19921875" style="108" customWidth="1"/>
    <col min="1314" max="1316" width="8.59765625" style="108" customWidth="1"/>
    <col min="1317" max="1317" width="10.8984375" style="108" customWidth="1"/>
    <col min="1318" max="1319" width="8.59765625" style="108" customWidth="1"/>
    <col min="1320" max="1320" width="10.59765625" style="108" customWidth="1"/>
    <col min="1321" max="1321" width="8.59765625" style="108" customWidth="1"/>
    <col min="1322" max="1531" width="8.59765625" style="108"/>
    <col min="1532" max="1532" width="7.8984375" style="108" customWidth="1"/>
    <col min="1533" max="1533" width="23.59765625" style="108" customWidth="1"/>
    <col min="1534" max="1535" width="14.3984375" style="108" customWidth="1"/>
    <col min="1536" max="1536" width="12" style="108" customWidth="1"/>
    <col min="1537" max="1537" width="4.19921875" style="108" customWidth="1"/>
    <col min="1538" max="1538" width="18" style="108" customWidth="1"/>
    <col min="1539" max="1539" width="13.3984375" style="108" customWidth="1"/>
    <col min="1540" max="1540" width="10" style="108" customWidth="1"/>
    <col min="1541" max="1541" width="10.19921875" style="108" customWidth="1"/>
    <col min="1542" max="1542" width="10.09765625" style="108" customWidth="1"/>
    <col min="1543" max="1543" width="8.59765625" style="108" customWidth="1"/>
    <col min="1544" max="1545" width="7.59765625" style="108" customWidth="1"/>
    <col min="1546" max="1546" width="6.59765625" style="108" customWidth="1"/>
    <col min="1547" max="1547" width="7.59765625" style="108" customWidth="1"/>
    <col min="1548" max="1549" width="13.69921875" style="108" customWidth="1"/>
    <col min="1550" max="1550" width="6.59765625" style="108" customWidth="1"/>
    <col min="1551" max="1551" width="5.19921875" style="108" customWidth="1"/>
    <col min="1552" max="1552" width="6.59765625" style="108" customWidth="1"/>
    <col min="1553" max="1558" width="7.59765625" style="108" customWidth="1"/>
    <col min="1559" max="1560" width="8.5" style="108" customWidth="1"/>
    <col min="1561" max="1561" width="8.19921875" style="108" customWidth="1"/>
    <col min="1562" max="1562" width="8.09765625" style="108" customWidth="1"/>
    <col min="1563" max="1563" width="5.09765625" style="108" customWidth="1"/>
    <col min="1564" max="1564" width="6.69921875" style="108" customWidth="1"/>
    <col min="1565" max="1565" width="7.69921875" style="108" customWidth="1"/>
    <col min="1566" max="1566" width="11.8984375" style="108" customWidth="1"/>
    <col min="1567" max="1567" width="17.5" style="108" customWidth="1"/>
    <col min="1568" max="1569" width="9.19921875" style="108" customWidth="1"/>
    <col min="1570" max="1572" width="8.59765625" style="108" customWidth="1"/>
    <col min="1573" max="1573" width="10.8984375" style="108" customWidth="1"/>
    <col min="1574" max="1575" width="8.59765625" style="108" customWidth="1"/>
    <col min="1576" max="1576" width="10.59765625" style="108" customWidth="1"/>
    <col min="1577" max="1577" width="8.59765625" style="108" customWidth="1"/>
    <col min="1578" max="1787" width="8.59765625" style="108"/>
    <col min="1788" max="1788" width="7.8984375" style="108" customWidth="1"/>
    <col min="1789" max="1789" width="23.59765625" style="108" customWidth="1"/>
    <col min="1790" max="1791" width="14.3984375" style="108" customWidth="1"/>
    <col min="1792" max="1792" width="12" style="108" customWidth="1"/>
    <col min="1793" max="1793" width="4.19921875" style="108" customWidth="1"/>
    <col min="1794" max="1794" width="18" style="108" customWidth="1"/>
    <col min="1795" max="1795" width="13.3984375" style="108" customWidth="1"/>
    <col min="1796" max="1796" width="10" style="108" customWidth="1"/>
    <col min="1797" max="1797" width="10.19921875" style="108" customWidth="1"/>
    <col min="1798" max="1798" width="10.09765625" style="108" customWidth="1"/>
    <col min="1799" max="1799" width="8.59765625" style="108" customWidth="1"/>
    <col min="1800" max="1801" width="7.59765625" style="108" customWidth="1"/>
    <col min="1802" max="1802" width="6.59765625" style="108" customWidth="1"/>
    <col min="1803" max="1803" width="7.59765625" style="108" customWidth="1"/>
    <col min="1804" max="1805" width="13.69921875" style="108" customWidth="1"/>
    <col min="1806" max="1806" width="6.59765625" style="108" customWidth="1"/>
    <col min="1807" max="1807" width="5.19921875" style="108" customWidth="1"/>
    <col min="1808" max="1808" width="6.59765625" style="108" customWidth="1"/>
    <col min="1809" max="1814" width="7.59765625" style="108" customWidth="1"/>
    <col min="1815" max="1816" width="8.5" style="108" customWidth="1"/>
    <col min="1817" max="1817" width="8.19921875" style="108" customWidth="1"/>
    <col min="1818" max="1818" width="8.09765625" style="108" customWidth="1"/>
    <col min="1819" max="1819" width="5.09765625" style="108" customWidth="1"/>
    <col min="1820" max="1820" width="6.69921875" style="108" customWidth="1"/>
    <col min="1821" max="1821" width="7.69921875" style="108" customWidth="1"/>
    <col min="1822" max="1822" width="11.8984375" style="108" customWidth="1"/>
    <col min="1823" max="1823" width="17.5" style="108" customWidth="1"/>
    <col min="1824" max="1825" width="9.19921875" style="108" customWidth="1"/>
    <col min="1826" max="1828" width="8.59765625" style="108" customWidth="1"/>
    <col min="1829" max="1829" width="10.8984375" style="108" customWidth="1"/>
    <col min="1830" max="1831" width="8.59765625" style="108" customWidth="1"/>
    <col min="1832" max="1832" width="10.59765625" style="108" customWidth="1"/>
    <col min="1833" max="1833" width="8.59765625" style="108" customWidth="1"/>
    <col min="1834" max="2043" width="8.59765625" style="108"/>
    <col min="2044" max="2044" width="7.8984375" style="108" customWidth="1"/>
    <col min="2045" max="2045" width="23.59765625" style="108" customWidth="1"/>
    <col min="2046" max="2047" width="14.3984375" style="108" customWidth="1"/>
    <col min="2048" max="2048" width="12" style="108" customWidth="1"/>
    <col min="2049" max="2049" width="4.19921875" style="108" customWidth="1"/>
    <col min="2050" max="2050" width="18" style="108" customWidth="1"/>
    <col min="2051" max="2051" width="13.3984375" style="108" customWidth="1"/>
    <col min="2052" max="2052" width="10" style="108" customWidth="1"/>
    <col min="2053" max="2053" width="10.19921875" style="108" customWidth="1"/>
    <col min="2054" max="2054" width="10.09765625" style="108" customWidth="1"/>
    <col min="2055" max="2055" width="8.59765625" style="108" customWidth="1"/>
    <col min="2056" max="2057" width="7.59765625" style="108" customWidth="1"/>
    <col min="2058" max="2058" width="6.59765625" style="108" customWidth="1"/>
    <col min="2059" max="2059" width="7.59765625" style="108" customWidth="1"/>
    <col min="2060" max="2061" width="13.69921875" style="108" customWidth="1"/>
    <col min="2062" max="2062" width="6.59765625" style="108" customWidth="1"/>
    <col min="2063" max="2063" width="5.19921875" style="108" customWidth="1"/>
    <col min="2064" max="2064" width="6.59765625" style="108" customWidth="1"/>
    <col min="2065" max="2070" width="7.59765625" style="108" customWidth="1"/>
    <col min="2071" max="2072" width="8.5" style="108" customWidth="1"/>
    <col min="2073" max="2073" width="8.19921875" style="108" customWidth="1"/>
    <col min="2074" max="2074" width="8.09765625" style="108" customWidth="1"/>
    <col min="2075" max="2075" width="5.09765625" style="108" customWidth="1"/>
    <col min="2076" max="2076" width="6.69921875" style="108" customWidth="1"/>
    <col min="2077" max="2077" width="7.69921875" style="108" customWidth="1"/>
    <col min="2078" max="2078" width="11.8984375" style="108" customWidth="1"/>
    <col min="2079" max="2079" width="17.5" style="108" customWidth="1"/>
    <col min="2080" max="2081" width="9.19921875" style="108" customWidth="1"/>
    <col min="2082" max="2084" width="8.59765625" style="108" customWidth="1"/>
    <col min="2085" max="2085" width="10.8984375" style="108" customWidth="1"/>
    <col min="2086" max="2087" width="8.59765625" style="108" customWidth="1"/>
    <col min="2088" max="2088" width="10.59765625" style="108" customWidth="1"/>
    <col min="2089" max="2089" width="8.59765625" style="108" customWidth="1"/>
    <col min="2090" max="2299" width="8.59765625" style="108"/>
    <col min="2300" max="2300" width="7.8984375" style="108" customWidth="1"/>
    <col min="2301" max="2301" width="23.59765625" style="108" customWidth="1"/>
    <col min="2302" max="2303" width="14.3984375" style="108" customWidth="1"/>
    <col min="2304" max="2304" width="12" style="108" customWidth="1"/>
    <col min="2305" max="2305" width="4.19921875" style="108" customWidth="1"/>
    <col min="2306" max="2306" width="18" style="108" customWidth="1"/>
    <col min="2307" max="2307" width="13.3984375" style="108" customWidth="1"/>
    <col min="2308" max="2308" width="10" style="108" customWidth="1"/>
    <col min="2309" max="2309" width="10.19921875" style="108" customWidth="1"/>
    <col min="2310" max="2310" width="10.09765625" style="108" customWidth="1"/>
    <col min="2311" max="2311" width="8.59765625" style="108" customWidth="1"/>
    <col min="2312" max="2313" width="7.59765625" style="108" customWidth="1"/>
    <col min="2314" max="2314" width="6.59765625" style="108" customWidth="1"/>
    <col min="2315" max="2315" width="7.59765625" style="108" customWidth="1"/>
    <col min="2316" max="2317" width="13.69921875" style="108" customWidth="1"/>
    <col min="2318" max="2318" width="6.59765625" style="108" customWidth="1"/>
    <col min="2319" max="2319" width="5.19921875" style="108" customWidth="1"/>
    <col min="2320" max="2320" width="6.59765625" style="108" customWidth="1"/>
    <col min="2321" max="2326" width="7.59765625" style="108" customWidth="1"/>
    <col min="2327" max="2328" width="8.5" style="108" customWidth="1"/>
    <col min="2329" max="2329" width="8.19921875" style="108" customWidth="1"/>
    <col min="2330" max="2330" width="8.09765625" style="108" customWidth="1"/>
    <col min="2331" max="2331" width="5.09765625" style="108" customWidth="1"/>
    <col min="2332" max="2332" width="6.69921875" style="108" customWidth="1"/>
    <col min="2333" max="2333" width="7.69921875" style="108" customWidth="1"/>
    <col min="2334" max="2334" width="11.8984375" style="108" customWidth="1"/>
    <col min="2335" max="2335" width="17.5" style="108" customWidth="1"/>
    <col min="2336" max="2337" width="9.19921875" style="108" customWidth="1"/>
    <col min="2338" max="2340" width="8.59765625" style="108" customWidth="1"/>
    <col min="2341" max="2341" width="10.8984375" style="108" customWidth="1"/>
    <col min="2342" max="2343" width="8.59765625" style="108" customWidth="1"/>
    <col min="2344" max="2344" width="10.59765625" style="108" customWidth="1"/>
    <col min="2345" max="2345" width="8.59765625" style="108" customWidth="1"/>
    <col min="2346" max="2555" width="8.59765625" style="108"/>
    <col min="2556" max="2556" width="7.8984375" style="108" customWidth="1"/>
    <col min="2557" max="2557" width="23.59765625" style="108" customWidth="1"/>
    <col min="2558" max="2559" width="14.3984375" style="108" customWidth="1"/>
    <col min="2560" max="2560" width="12" style="108" customWidth="1"/>
    <col min="2561" max="2561" width="4.19921875" style="108" customWidth="1"/>
    <col min="2562" max="2562" width="18" style="108" customWidth="1"/>
    <col min="2563" max="2563" width="13.3984375" style="108" customWidth="1"/>
    <col min="2564" max="2564" width="10" style="108" customWidth="1"/>
    <col min="2565" max="2565" width="10.19921875" style="108" customWidth="1"/>
    <col min="2566" max="2566" width="10.09765625" style="108" customWidth="1"/>
    <col min="2567" max="2567" width="8.59765625" style="108" customWidth="1"/>
    <col min="2568" max="2569" width="7.59765625" style="108" customWidth="1"/>
    <col min="2570" max="2570" width="6.59765625" style="108" customWidth="1"/>
    <col min="2571" max="2571" width="7.59765625" style="108" customWidth="1"/>
    <col min="2572" max="2573" width="13.69921875" style="108" customWidth="1"/>
    <col min="2574" max="2574" width="6.59765625" style="108" customWidth="1"/>
    <col min="2575" max="2575" width="5.19921875" style="108" customWidth="1"/>
    <col min="2576" max="2576" width="6.59765625" style="108" customWidth="1"/>
    <col min="2577" max="2582" width="7.59765625" style="108" customWidth="1"/>
    <col min="2583" max="2584" width="8.5" style="108" customWidth="1"/>
    <col min="2585" max="2585" width="8.19921875" style="108" customWidth="1"/>
    <col min="2586" max="2586" width="8.09765625" style="108" customWidth="1"/>
    <col min="2587" max="2587" width="5.09765625" style="108" customWidth="1"/>
    <col min="2588" max="2588" width="6.69921875" style="108" customWidth="1"/>
    <col min="2589" max="2589" width="7.69921875" style="108" customWidth="1"/>
    <col min="2590" max="2590" width="11.8984375" style="108" customWidth="1"/>
    <col min="2591" max="2591" width="17.5" style="108" customWidth="1"/>
    <col min="2592" max="2593" width="9.19921875" style="108" customWidth="1"/>
    <col min="2594" max="2596" width="8.59765625" style="108" customWidth="1"/>
    <col min="2597" max="2597" width="10.8984375" style="108" customWidth="1"/>
    <col min="2598" max="2599" width="8.59765625" style="108" customWidth="1"/>
    <col min="2600" max="2600" width="10.59765625" style="108" customWidth="1"/>
    <col min="2601" max="2601" width="8.59765625" style="108" customWidth="1"/>
    <col min="2602" max="2811" width="8.59765625" style="108"/>
    <col min="2812" max="2812" width="7.8984375" style="108" customWidth="1"/>
    <col min="2813" max="2813" width="23.59765625" style="108" customWidth="1"/>
    <col min="2814" max="2815" width="14.3984375" style="108" customWidth="1"/>
    <col min="2816" max="2816" width="12" style="108" customWidth="1"/>
    <col min="2817" max="2817" width="4.19921875" style="108" customWidth="1"/>
    <col min="2818" max="2818" width="18" style="108" customWidth="1"/>
    <col min="2819" max="2819" width="13.3984375" style="108" customWidth="1"/>
    <col min="2820" max="2820" width="10" style="108" customWidth="1"/>
    <col min="2821" max="2821" width="10.19921875" style="108" customWidth="1"/>
    <col min="2822" max="2822" width="10.09765625" style="108" customWidth="1"/>
    <col min="2823" max="2823" width="8.59765625" style="108" customWidth="1"/>
    <col min="2824" max="2825" width="7.59765625" style="108" customWidth="1"/>
    <col min="2826" max="2826" width="6.59765625" style="108" customWidth="1"/>
    <col min="2827" max="2827" width="7.59765625" style="108" customWidth="1"/>
    <col min="2828" max="2829" width="13.69921875" style="108" customWidth="1"/>
    <col min="2830" max="2830" width="6.59765625" style="108" customWidth="1"/>
    <col min="2831" max="2831" width="5.19921875" style="108" customWidth="1"/>
    <col min="2832" max="2832" width="6.59765625" style="108" customWidth="1"/>
    <col min="2833" max="2838" width="7.59765625" style="108" customWidth="1"/>
    <col min="2839" max="2840" width="8.5" style="108" customWidth="1"/>
    <col min="2841" max="2841" width="8.19921875" style="108" customWidth="1"/>
    <col min="2842" max="2842" width="8.09765625" style="108" customWidth="1"/>
    <col min="2843" max="2843" width="5.09765625" style="108" customWidth="1"/>
    <col min="2844" max="2844" width="6.69921875" style="108" customWidth="1"/>
    <col min="2845" max="2845" width="7.69921875" style="108" customWidth="1"/>
    <col min="2846" max="2846" width="11.8984375" style="108" customWidth="1"/>
    <col min="2847" max="2847" width="17.5" style="108" customWidth="1"/>
    <col min="2848" max="2849" width="9.19921875" style="108" customWidth="1"/>
    <col min="2850" max="2852" width="8.59765625" style="108" customWidth="1"/>
    <col min="2853" max="2853" width="10.8984375" style="108" customWidth="1"/>
    <col min="2854" max="2855" width="8.59765625" style="108" customWidth="1"/>
    <col min="2856" max="2856" width="10.59765625" style="108" customWidth="1"/>
    <col min="2857" max="2857" width="8.59765625" style="108" customWidth="1"/>
    <col min="2858" max="3067" width="8.59765625" style="108"/>
    <col min="3068" max="3068" width="7.8984375" style="108" customWidth="1"/>
    <col min="3069" max="3069" width="23.59765625" style="108" customWidth="1"/>
    <col min="3070" max="3071" width="14.3984375" style="108" customWidth="1"/>
    <col min="3072" max="3072" width="12" style="108" customWidth="1"/>
    <col min="3073" max="3073" width="4.19921875" style="108" customWidth="1"/>
    <col min="3074" max="3074" width="18" style="108" customWidth="1"/>
    <col min="3075" max="3075" width="13.3984375" style="108" customWidth="1"/>
    <col min="3076" max="3076" width="10" style="108" customWidth="1"/>
    <col min="3077" max="3077" width="10.19921875" style="108" customWidth="1"/>
    <col min="3078" max="3078" width="10.09765625" style="108" customWidth="1"/>
    <col min="3079" max="3079" width="8.59765625" style="108" customWidth="1"/>
    <col min="3080" max="3081" width="7.59765625" style="108" customWidth="1"/>
    <col min="3082" max="3082" width="6.59765625" style="108" customWidth="1"/>
    <col min="3083" max="3083" width="7.59765625" style="108" customWidth="1"/>
    <col min="3084" max="3085" width="13.69921875" style="108" customWidth="1"/>
    <col min="3086" max="3086" width="6.59765625" style="108" customWidth="1"/>
    <col min="3087" max="3087" width="5.19921875" style="108" customWidth="1"/>
    <col min="3088" max="3088" width="6.59765625" style="108" customWidth="1"/>
    <col min="3089" max="3094" width="7.59765625" style="108" customWidth="1"/>
    <col min="3095" max="3096" width="8.5" style="108" customWidth="1"/>
    <col min="3097" max="3097" width="8.19921875" style="108" customWidth="1"/>
    <col min="3098" max="3098" width="8.09765625" style="108" customWidth="1"/>
    <col min="3099" max="3099" width="5.09765625" style="108" customWidth="1"/>
    <col min="3100" max="3100" width="6.69921875" style="108" customWidth="1"/>
    <col min="3101" max="3101" width="7.69921875" style="108" customWidth="1"/>
    <col min="3102" max="3102" width="11.8984375" style="108" customWidth="1"/>
    <col min="3103" max="3103" width="17.5" style="108" customWidth="1"/>
    <col min="3104" max="3105" width="9.19921875" style="108" customWidth="1"/>
    <col min="3106" max="3108" width="8.59765625" style="108" customWidth="1"/>
    <col min="3109" max="3109" width="10.8984375" style="108" customWidth="1"/>
    <col min="3110" max="3111" width="8.59765625" style="108" customWidth="1"/>
    <col min="3112" max="3112" width="10.59765625" style="108" customWidth="1"/>
    <col min="3113" max="3113" width="8.59765625" style="108" customWidth="1"/>
    <col min="3114" max="3323" width="8.59765625" style="108"/>
    <col min="3324" max="3324" width="7.8984375" style="108" customWidth="1"/>
    <col min="3325" max="3325" width="23.59765625" style="108" customWidth="1"/>
    <col min="3326" max="3327" width="14.3984375" style="108" customWidth="1"/>
    <col min="3328" max="3328" width="12" style="108" customWidth="1"/>
    <col min="3329" max="3329" width="4.19921875" style="108" customWidth="1"/>
    <col min="3330" max="3330" width="18" style="108" customWidth="1"/>
    <col min="3331" max="3331" width="13.3984375" style="108" customWidth="1"/>
    <col min="3332" max="3332" width="10" style="108" customWidth="1"/>
    <col min="3333" max="3333" width="10.19921875" style="108" customWidth="1"/>
    <col min="3334" max="3334" width="10.09765625" style="108" customWidth="1"/>
    <col min="3335" max="3335" width="8.59765625" style="108" customWidth="1"/>
    <col min="3336" max="3337" width="7.59765625" style="108" customWidth="1"/>
    <col min="3338" max="3338" width="6.59765625" style="108" customWidth="1"/>
    <col min="3339" max="3339" width="7.59765625" style="108" customWidth="1"/>
    <col min="3340" max="3341" width="13.69921875" style="108" customWidth="1"/>
    <col min="3342" max="3342" width="6.59765625" style="108" customWidth="1"/>
    <col min="3343" max="3343" width="5.19921875" style="108" customWidth="1"/>
    <col min="3344" max="3344" width="6.59765625" style="108" customWidth="1"/>
    <col min="3345" max="3350" width="7.59765625" style="108" customWidth="1"/>
    <col min="3351" max="3352" width="8.5" style="108" customWidth="1"/>
    <col min="3353" max="3353" width="8.19921875" style="108" customWidth="1"/>
    <col min="3354" max="3354" width="8.09765625" style="108" customWidth="1"/>
    <col min="3355" max="3355" width="5.09765625" style="108" customWidth="1"/>
    <col min="3356" max="3356" width="6.69921875" style="108" customWidth="1"/>
    <col min="3357" max="3357" width="7.69921875" style="108" customWidth="1"/>
    <col min="3358" max="3358" width="11.8984375" style="108" customWidth="1"/>
    <col min="3359" max="3359" width="17.5" style="108" customWidth="1"/>
    <col min="3360" max="3361" width="9.19921875" style="108" customWidth="1"/>
    <col min="3362" max="3364" width="8.59765625" style="108" customWidth="1"/>
    <col min="3365" max="3365" width="10.8984375" style="108" customWidth="1"/>
    <col min="3366" max="3367" width="8.59765625" style="108" customWidth="1"/>
    <col min="3368" max="3368" width="10.59765625" style="108" customWidth="1"/>
    <col min="3369" max="3369" width="8.59765625" style="108" customWidth="1"/>
    <col min="3370" max="3579" width="8.59765625" style="108"/>
    <col min="3580" max="3580" width="7.8984375" style="108" customWidth="1"/>
    <col min="3581" max="3581" width="23.59765625" style="108" customWidth="1"/>
    <col min="3582" max="3583" width="14.3984375" style="108" customWidth="1"/>
    <col min="3584" max="3584" width="12" style="108" customWidth="1"/>
    <col min="3585" max="3585" width="4.19921875" style="108" customWidth="1"/>
    <col min="3586" max="3586" width="18" style="108" customWidth="1"/>
    <col min="3587" max="3587" width="13.3984375" style="108" customWidth="1"/>
    <col min="3588" max="3588" width="10" style="108" customWidth="1"/>
    <col min="3589" max="3589" width="10.19921875" style="108" customWidth="1"/>
    <col min="3590" max="3590" width="10.09765625" style="108" customWidth="1"/>
    <col min="3591" max="3591" width="8.59765625" style="108" customWidth="1"/>
    <col min="3592" max="3593" width="7.59765625" style="108" customWidth="1"/>
    <col min="3594" max="3594" width="6.59765625" style="108" customWidth="1"/>
    <col min="3595" max="3595" width="7.59765625" style="108" customWidth="1"/>
    <col min="3596" max="3597" width="13.69921875" style="108" customWidth="1"/>
    <col min="3598" max="3598" width="6.59765625" style="108" customWidth="1"/>
    <col min="3599" max="3599" width="5.19921875" style="108" customWidth="1"/>
    <col min="3600" max="3600" width="6.59765625" style="108" customWidth="1"/>
    <col min="3601" max="3606" width="7.59765625" style="108" customWidth="1"/>
    <col min="3607" max="3608" width="8.5" style="108" customWidth="1"/>
    <col min="3609" max="3609" width="8.19921875" style="108" customWidth="1"/>
    <col min="3610" max="3610" width="8.09765625" style="108" customWidth="1"/>
    <col min="3611" max="3611" width="5.09765625" style="108" customWidth="1"/>
    <col min="3612" max="3612" width="6.69921875" style="108" customWidth="1"/>
    <col min="3613" max="3613" width="7.69921875" style="108" customWidth="1"/>
    <col min="3614" max="3614" width="11.8984375" style="108" customWidth="1"/>
    <col min="3615" max="3615" width="17.5" style="108" customWidth="1"/>
    <col min="3616" max="3617" width="9.19921875" style="108" customWidth="1"/>
    <col min="3618" max="3620" width="8.59765625" style="108" customWidth="1"/>
    <col min="3621" max="3621" width="10.8984375" style="108" customWidth="1"/>
    <col min="3622" max="3623" width="8.59765625" style="108" customWidth="1"/>
    <col min="3624" max="3624" width="10.59765625" style="108" customWidth="1"/>
    <col min="3625" max="3625" width="8.59765625" style="108" customWidth="1"/>
    <col min="3626" max="3835" width="8.59765625" style="108"/>
    <col min="3836" max="3836" width="7.8984375" style="108" customWidth="1"/>
    <col min="3837" max="3837" width="23.59765625" style="108" customWidth="1"/>
    <col min="3838" max="3839" width="14.3984375" style="108" customWidth="1"/>
    <col min="3840" max="3840" width="12" style="108" customWidth="1"/>
    <col min="3841" max="3841" width="4.19921875" style="108" customWidth="1"/>
    <col min="3842" max="3842" width="18" style="108" customWidth="1"/>
    <col min="3843" max="3843" width="13.3984375" style="108" customWidth="1"/>
    <col min="3844" max="3844" width="10" style="108" customWidth="1"/>
    <col min="3845" max="3845" width="10.19921875" style="108" customWidth="1"/>
    <col min="3846" max="3846" width="10.09765625" style="108" customWidth="1"/>
    <col min="3847" max="3847" width="8.59765625" style="108" customWidth="1"/>
    <col min="3848" max="3849" width="7.59765625" style="108" customWidth="1"/>
    <col min="3850" max="3850" width="6.59765625" style="108" customWidth="1"/>
    <col min="3851" max="3851" width="7.59765625" style="108" customWidth="1"/>
    <col min="3852" max="3853" width="13.69921875" style="108" customWidth="1"/>
    <col min="3854" max="3854" width="6.59765625" style="108" customWidth="1"/>
    <col min="3855" max="3855" width="5.19921875" style="108" customWidth="1"/>
    <col min="3856" max="3856" width="6.59765625" style="108" customWidth="1"/>
    <col min="3857" max="3862" width="7.59765625" style="108" customWidth="1"/>
    <col min="3863" max="3864" width="8.5" style="108" customWidth="1"/>
    <col min="3865" max="3865" width="8.19921875" style="108" customWidth="1"/>
    <col min="3866" max="3866" width="8.09765625" style="108" customWidth="1"/>
    <col min="3867" max="3867" width="5.09765625" style="108" customWidth="1"/>
    <col min="3868" max="3868" width="6.69921875" style="108" customWidth="1"/>
    <col min="3869" max="3869" width="7.69921875" style="108" customWidth="1"/>
    <col min="3870" max="3870" width="11.8984375" style="108" customWidth="1"/>
    <col min="3871" max="3871" width="17.5" style="108" customWidth="1"/>
    <col min="3872" max="3873" width="9.19921875" style="108" customWidth="1"/>
    <col min="3874" max="3876" width="8.59765625" style="108" customWidth="1"/>
    <col min="3877" max="3877" width="10.8984375" style="108" customWidth="1"/>
    <col min="3878" max="3879" width="8.59765625" style="108" customWidth="1"/>
    <col min="3880" max="3880" width="10.59765625" style="108" customWidth="1"/>
    <col min="3881" max="3881" width="8.59765625" style="108" customWidth="1"/>
    <col min="3882" max="4091" width="8.59765625" style="108"/>
    <col min="4092" max="4092" width="7.8984375" style="108" customWidth="1"/>
    <col min="4093" max="4093" width="23.59765625" style="108" customWidth="1"/>
    <col min="4094" max="4095" width="14.3984375" style="108" customWidth="1"/>
    <col min="4096" max="4096" width="12" style="108" customWidth="1"/>
    <col min="4097" max="4097" width="4.19921875" style="108" customWidth="1"/>
    <col min="4098" max="4098" width="18" style="108" customWidth="1"/>
    <col min="4099" max="4099" width="13.3984375" style="108" customWidth="1"/>
    <col min="4100" max="4100" width="10" style="108" customWidth="1"/>
    <col min="4101" max="4101" width="10.19921875" style="108" customWidth="1"/>
    <col min="4102" max="4102" width="10.09765625" style="108" customWidth="1"/>
    <col min="4103" max="4103" width="8.59765625" style="108" customWidth="1"/>
    <col min="4104" max="4105" width="7.59765625" style="108" customWidth="1"/>
    <col min="4106" max="4106" width="6.59765625" style="108" customWidth="1"/>
    <col min="4107" max="4107" width="7.59765625" style="108" customWidth="1"/>
    <col min="4108" max="4109" width="13.69921875" style="108" customWidth="1"/>
    <col min="4110" max="4110" width="6.59765625" style="108" customWidth="1"/>
    <col min="4111" max="4111" width="5.19921875" style="108" customWidth="1"/>
    <col min="4112" max="4112" width="6.59765625" style="108" customWidth="1"/>
    <col min="4113" max="4118" width="7.59765625" style="108" customWidth="1"/>
    <col min="4119" max="4120" width="8.5" style="108" customWidth="1"/>
    <col min="4121" max="4121" width="8.19921875" style="108" customWidth="1"/>
    <col min="4122" max="4122" width="8.09765625" style="108" customWidth="1"/>
    <col min="4123" max="4123" width="5.09765625" style="108" customWidth="1"/>
    <col min="4124" max="4124" width="6.69921875" style="108" customWidth="1"/>
    <col min="4125" max="4125" width="7.69921875" style="108" customWidth="1"/>
    <col min="4126" max="4126" width="11.8984375" style="108" customWidth="1"/>
    <col min="4127" max="4127" width="17.5" style="108" customWidth="1"/>
    <col min="4128" max="4129" width="9.19921875" style="108" customWidth="1"/>
    <col min="4130" max="4132" width="8.59765625" style="108" customWidth="1"/>
    <col min="4133" max="4133" width="10.8984375" style="108" customWidth="1"/>
    <col min="4134" max="4135" width="8.59765625" style="108" customWidth="1"/>
    <col min="4136" max="4136" width="10.59765625" style="108" customWidth="1"/>
    <col min="4137" max="4137" width="8.59765625" style="108" customWidth="1"/>
    <col min="4138" max="4347" width="8.59765625" style="108"/>
    <col min="4348" max="4348" width="7.8984375" style="108" customWidth="1"/>
    <col min="4349" max="4349" width="23.59765625" style="108" customWidth="1"/>
    <col min="4350" max="4351" width="14.3984375" style="108" customWidth="1"/>
    <col min="4352" max="4352" width="12" style="108" customWidth="1"/>
    <col min="4353" max="4353" width="4.19921875" style="108" customWidth="1"/>
    <col min="4354" max="4354" width="18" style="108" customWidth="1"/>
    <col min="4355" max="4355" width="13.3984375" style="108" customWidth="1"/>
    <col min="4356" max="4356" width="10" style="108" customWidth="1"/>
    <col min="4357" max="4357" width="10.19921875" style="108" customWidth="1"/>
    <col min="4358" max="4358" width="10.09765625" style="108" customWidth="1"/>
    <col min="4359" max="4359" width="8.59765625" style="108" customWidth="1"/>
    <col min="4360" max="4361" width="7.59765625" style="108" customWidth="1"/>
    <col min="4362" max="4362" width="6.59765625" style="108" customWidth="1"/>
    <col min="4363" max="4363" width="7.59765625" style="108" customWidth="1"/>
    <col min="4364" max="4365" width="13.69921875" style="108" customWidth="1"/>
    <col min="4366" max="4366" width="6.59765625" style="108" customWidth="1"/>
    <col min="4367" max="4367" width="5.19921875" style="108" customWidth="1"/>
    <col min="4368" max="4368" width="6.59765625" style="108" customWidth="1"/>
    <col min="4369" max="4374" width="7.59765625" style="108" customWidth="1"/>
    <col min="4375" max="4376" width="8.5" style="108" customWidth="1"/>
    <col min="4377" max="4377" width="8.19921875" style="108" customWidth="1"/>
    <col min="4378" max="4378" width="8.09765625" style="108" customWidth="1"/>
    <col min="4379" max="4379" width="5.09765625" style="108" customWidth="1"/>
    <col min="4380" max="4380" width="6.69921875" style="108" customWidth="1"/>
    <col min="4381" max="4381" width="7.69921875" style="108" customWidth="1"/>
    <col min="4382" max="4382" width="11.8984375" style="108" customWidth="1"/>
    <col min="4383" max="4383" width="17.5" style="108" customWidth="1"/>
    <col min="4384" max="4385" width="9.19921875" style="108" customWidth="1"/>
    <col min="4386" max="4388" width="8.59765625" style="108" customWidth="1"/>
    <col min="4389" max="4389" width="10.8984375" style="108" customWidth="1"/>
    <col min="4390" max="4391" width="8.59765625" style="108" customWidth="1"/>
    <col min="4392" max="4392" width="10.59765625" style="108" customWidth="1"/>
    <col min="4393" max="4393" width="8.59765625" style="108" customWidth="1"/>
    <col min="4394" max="4603" width="8.59765625" style="108"/>
    <col min="4604" max="4604" width="7.8984375" style="108" customWidth="1"/>
    <col min="4605" max="4605" width="23.59765625" style="108" customWidth="1"/>
    <col min="4606" max="4607" width="14.3984375" style="108" customWidth="1"/>
    <col min="4608" max="4608" width="12" style="108" customWidth="1"/>
    <col min="4609" max="4609" width="4.19921875" style="108" customWidth="1"/>
    <col min="4610" max="4610" width="18" style="108" customWidth="1"/>
    <col min="4611" max="4611" width="13.3984375" style="108" customWidth="1"/>
    <col min="4612" max="4612" width="10" style="108" customWidth="1"/>
    <col min="4613" max="4613" width="10.19921875" style="108" customWidth="1"/>
    <col min="4614" max="4614" width="10.09765625" style="108" customWidth="1"/>
    <col min="4615" max="4615" width="8.59765625" style="108" customWidth="1"/>
    <col min="4616" max="4617" width="7.59765625" style="108" customWidth="1"/>
    <col min="4618" max="4618" width="6.59765625" style="108" customWidth="1"/>
    <col min="4619" max="4619" width="7.59765625" style="108" customWidth="1"/>
    <col min="4620" max="4621" width="13.69921875" style="108" customWidth="1"/>
    <col min="4622" max="4622" width="6.59765625" style="108" customWidth="1"/>
    <col min="4623" max="4623" width="5.19921875" style="108" customWidth="1"/>
    <col min="4624" max="4624" width="6.59765625" style="108" customWidth="1"/>
    <col min="4625" max="4630" width="7.59765625" style="108" customWidth="1"/>
    <col min="4631" max="4632" width="8.5" style="108" customWidth="1"/>
    <col min="4633" max="4633" width="8.19921875" style="108" customWidth="1"/>
    <col min="4634" max="4634" width="8.09765625" style="108" customWidth="1"/>
    <col min="4635" max="4635" width="5.09765625" style="108" customWidth="1"/>
    <col min="4636" max="4636" width="6.69921875" style="108" customWidth="1"/>
    <col min="4637" max="4637" width="7.69921875" style="108" customWidth="1"/>
    <col min="4638" max="4638" width="11.8984375" style="108" customWidth="1"/>
    <col min="4639" max="4639" width="17.5" style="108" customWidth="1"/>
    <col min="4640" max="4641" width="9.19921875" style="108" customWidth="1"/>
    <col min="4642" max="4644" width="8.59765625" style="108" customWidth="1"/>
    <col min="4645" max="4645" width="10.8984375" style="108" customWidth="1"/>
    <col min="4646" max="4647" width="8.59765625" style="108" customWidth="1"/>
    <col min="4648" max="4648" width="10.59765625" style="108" customWidth="1"/>
    <col min="4649" max="4649" width="8.59765625" style="108" customWidth="1"/>
    <col min="4650" max="4859" width="8.59765625" style="108"/>
    <col min="4860" max="4860" width="7.8984375" style="108" customWidth="1"/>
    <col min="4861" max="4861" width="23.59765625" style="108" customWidth="1"/>
    <col min="4862" max="4863" width="14.3984375" style="108" customWidth="1"/>
    <col min="4864" max="4864" width="12" style="108" customWidth="1"/>
    <col min="4865" max="4865" width="4.19921875" style="108" customWidth="1"/>
    <col min="4866" max="4866" width="18" style="108" customWidth="1"/>
    <col min="4867" max="4867" width="13.3984375" style="108" customWidth="1"/>
    <col min="4868" max="4868" width="10" style="108" customWidth="1"/>
    <col min="4869" max="4869" width="10.19921875" style="108" customWidth="1"/>
    <col min="4870" max="4870" width="10.09765625" style="108" customWidth="1"/>
    <col min="4871" max="4871" width="8.59765625" style="108" customWidth="1"/>
    <col min="4872" max="4873" width="7.59765625" style="108" customWidth="1"/>
    <col min="4874" max="4874" width="6.59765625" style="108" customWidth="1"/>
    <col min="4875" max="4875" width="7.59765625" style="108" customWidth="1"/>
    <col min="4876" max="4877" width="13.69921875" style="108" customWidth="1"/>
    <col min="4878" max="4878" width="6.59765625" style="108" customWidth="1"/>
    <col min="4879" max="4879" width="5.19921875" style="108" customWidth="1"/>
    <col min="4880" max="4880" width="6.59765625" style="108" customWidth="1"/>
    <col min="4881" max="4886" width="7.59765625" style="108" customWidth="1"/>
    <col min="4887" max="4888" width="8.5" style="108" customWidth="1"/>
    <col min="4889" max="4889" width="8.19921875" style="108" customWidth="1"/>
    <col min="4890" max="4890" width="8.09765625" style="108" customWidth="1"/>
    <col min="4891" max="4891" width="5.09765625" style="108" customWidth="1"/>
    <col min="4892" max="4892" width="6.69921875" style="108" customWidth="1"/>
    <col min="4893" max="4893" width="7.69921875" style="108" customWidth="1"/>
    <col min="4894" max="4894" width="11.8984375" style="108" customWidth="1"/>
    <col min="4895" max="4895" width="17.5" style="108" customWidth="1"/>
    <col min="4896" max="4897" width="9.19921875" style="108" customWidth="1"/>
    <col min="4898" max="4900" width="8.59765625" style="108" customWidth="1"/>
    <col min="4901" max="4901" width="10.8984375" style="108" customWidth="1"/>
    <col min="4902" max="4903" width="8.59765625" style="108" customWidth="1"/>
    <col min="4904" max="4904" width="10.59765625" style="108" customWidth="1"/>
    <col min="4905" max="4905" width="8.59765625" style="108" customWidth="1"/>
    <col min="4906" max="5115" width="8.59765625" style="108"/>
    <col min="5116" max="5116" width="7.8984375" style="108" customWidth="1"/>
    <col min="5117" max="5117" width="23.59765625" style="108" customWidth="1"/>
    <col min="5118" max="5119" width="14.3984375" style="108" customWidth="1"/>
    <col min="5120" max="5120" width="12" style="108" customWidth="1"/>
    <col min="5121" max="5121" width="4.19921875" style="108" customWidth="1"/>
    <col min="5122" max="5122" width="18" style="108" customWidth="1"/>
    <col min="5123" max="5123" width="13.3984375" style="108" customWidth="1"/>
    <col min="5124" max="5124" width="10" style="108" customWidth="1"/>
    <col min="5125" max="5125" width="10.19921875" style="108" customWidth="1"/>
    <col min="5126" max="5126" width="10.09765625" style="108" customWidth="1"/>
    <col min="5127" max="5127" width="8.59765625" style="108" customWidth="1"/>
    <col min="5128" max="5129" width="7.59765625" style="108" customWidth="1"/>
    <col min="5130" max="5130" width="6.59765625" style="108" customWidth="1"/>
    <col min="5131" max="5131" width="7.59765625" style="108" customWidth="1"/>
    <col min="5132" max="5133" width="13.69921875" style="108" customWidth="1"/>
    <col min="5134" max="5134" width="6.59765625" style="108" customWidth="1"/>
    <col min="5135" max="5135" width="5.19921875" style="108" customWidth="1"/>
    <col min="5136" max="5136" width="6.59765625" style="108" customWidth="1"/>
    <col min="5137" max="5142" width="7.59765625" style="108" customWidth="1"/>
    <col min="5143" max="5144" width="8.5" style="108" customWidth="1"/>
    <col min="5145" max="5145" width="8.19921875" style="108" customWidth="1"/>
    <col min="5146" max="5146" width="8.09765625" style="108" customWidth="1"/>
    <col min="5147" max="5147" width="5.09765625" style="108" customWidth="1"/>
    <col min="5148" max="5148" width="6.69921875" style="108" customWidth="1"/>
    <col min="5149" max="5149" width="7.69921875" style="108" customWidth="1"/>
    <col min="5150" max="5150" width="11.8984375" style="108" customWidth="1"/>
    <col min="5151" max="5151" width="17.5" style="108" customWidth="1"/>
    <col min="5152" max="5153" width="9.19921875" style="108" customWidth="1"/>
    <col min="5154" max="5156" width="8.59765625" style="108" customWidth="1"/>
    <col min="5157" max="5157" width="10.8984375" style="108" customWidth="1"/>
    <col min="5158" max="5159" width="8.59765625" style="108" customWidth="1"/>
    <col min="5160" max="5160" width="10.59765625" style="108" customWidth="1"/>
    <col min="5161" max="5161" width="8.59765625" style="108" customWidth="1"/>
    <col min="5162" max="5371" width="8.59765625" style="108"/>
    <col min="5372" max="5372" width="7.8984375" style="108" customWidth="1"/>
    <col min="5373" max="5373" width="23.59765625" style="108" customWidth="1"/>
    <col min="5374" max="5375" width="14.3984375" style="108" customWidth="1"/>
    <col min="5376" max="5376" width="12" style="108" customWidth="1"/>
    <col min="5377" max="5377" width="4.19921875" style="108" customWidth="1"/>
    <col min="5378" max="5378" width="18" style="108" customWidth="1"/>
    <col min="5379" max="5379" width="13.3984375" style="108" customWidth="1"/>
    <col min="5380" max="5380" width="10" style="108" customWidth="1"/>
    <col min="5381" max="5381" width="10.19921875" style="108" customWidth="1"/>
    <col min="5382" max="5382" width="10.09765625" style="108" customWidth="1"/>
    <col min="5383" max="5383" width="8.59765625" style="108" customWidth="1"/>
    <col min="5384" max="5385" width="7.59765625" style="108" customWidth="1"/>
    <col min="5386" max="5386" width="6.59765625" style="108" customWidth="1"/>
    <col min="5387" max="5387" width="7.59765625" style="108" customWidth="1"/>
    <col min="5388" max="5389" width="13.69921875" style="108" customWidth="1"/>
    <col min="5390" max="5390" width="6.59765625" style="108" customWidth="1"/>
    <col min="5391" max="5391" width="5.19921875" style="108" customWidth="1"/>
    <col min="5392" max="5392" width="6.59765625" style="108" customWidth="1"/>
    <col min="5393" max="5398" width="7.59765625" style="108" customWidth="1"/>
    <col min="5399" max="5400" width="8.5" style="108" customWidth="1"/>
    <col min="5401" max="5401" width="8.19921875" style="108" customWidth="1"/>
    <col min="5402" max="5402" width="8.09765625" style="108" customWidth="1"/>
    <col min="5403" max="5403" width="5.09765625" style="108" customWidth="1"/>
    <col min="5404" max="5404" width="6.69921875" style="108" customWidth="1"/>
    <col min="5405" max="5405" width="7.69921875" style="108" customWidth="1"/>
    <col min="5406" max="5406" width="11.8984375" style="108" customWidth="1"/>
    <col min="5407" max="5407" width="17.5" style="108" customWidth="1"/>
    <col min="5408" max="5409" width="9.19921875" style="108" customWidth="1"/>
    <col min="5410" max="5412" width="8.59765625" style="108" customWidth="1"/>
    <col min="5413" max="5413" width="10.8984375" style="108" customWidth="1"/>
    <col min="5414" max="5415" width="8.59765625" style="108" customWidth="1"/>
    <col min="5416" max="5416" width="10.59765625" style="108" customWidth="1"/>
    <col min="5417" max="5417" width="8.59765625" style="108" customWidth="1"/>
    <col min="5418" max="5627" width="8.59765625" style="108"/>
    <col min="5628" max="5628" width="7.8984375" style="108" customWidth="1"/>
    <col min="5629" max="5629" width="23.59765625" style="108" customWidth="1"/>
    <col min="5630" max="5631" width="14.3984375" style="108" customWidth="1"/>
    <col min="5632" max="5632" width="12" style="108" customWidth="1"/>
    <col min="5633" max="5633" width="4.19921875" style="108" customWidth="1"/>
    <col min="5634" max="5634" width="18" style="108" customWidth="1"/>
    <col min="5635" max="5635" width="13.3984375" style="108" customWidth="1"/>
    <col min="5636" max="5636" width="10" style="108" customWidth="1"/>
    <col min="5637" max="5637" width="10.19921875" style="108" customWidth="1"/>
    <col min="5638" max="5638" width="10.09765625" style="108" customWidth="1"/>
    <col min="5639" max="5639" width="8.59765625" style="108" customWidth="1"/>
    <col min="5640" max="5641" width="7.59765625" style="108" customWidth="1"/>
    <col min="5642" max="5642" width="6.59765625" style="108" customWidth="1"/>
    <col min="5643" max="5643" width="7.59765625" style="108" customWidth="1"/>
    <col min="5644" max="5645" width="13.69921875" style="108" customWidth="1"/>
    <col min="5646" max="5646" width="6.59765625" style="108" customWidth="1"/>
    <col min="5647" max="5647" width="5.19921875" style="108" customWidth="1"/>
    <col min="5648" max="5648" width="6.59765625" style="108" customWidth="1"/>
    <col min="5649" max="5654" width="7.59765625" style="108" customWidth="1"/>
    <col min="5655" max="5656" width="8.5" style="108" customWidth="1"/>
    <col min="5657" max="5657" width="8.19921875" style="108" customWidth="1"/>
    <col min="5658" max="5658" width="8.09765625" style="108" customWidth="1"/>
    <col min="5659" max="5659" width="5.09765625" style="108" customWidth="1"/>
    <col min="5660" max="5660" width="6.69921875" style="108" customWidth="1"/>
    <col min="5661" max="5661" width="7.69921875" style="108" customWidth="1"/>
    <col min="5662" max="5662" width="11.8984375" style="108" customWidth="1"/>
    <col min="5663" max="5663" width="17.5" style="108" customWidth="1"/>
    <col min="5664" max="5665" width="9.19921875" style="108" customWidth="1"/>
    <col min="5666" max="5668" width="8.59765625" style="108" customWidth="1"/>
    <col min="5669" max="5669" width="10.8984375" style="108" customWidth="1"/>
    <col min="5670" max="5671" width="8.59765625" style="108" customWidth="1"/>
    <col min="5672" max="5672" width="10.59765625" style="108" customWidth="1"/>
    <col min="5673" max="5673" width="8.59765625" style="108" customWidth="1"/>
    <col min="5674" max="5883" width="8.59765625" style="108"/>
    <col min="5884" max="5884" width="7.8984375" style="108" customWidth="1"/>
    <col min="5885" max="5885" width="23.59765625" style="108" customWidth="1"/>
    <col min="5886" max="5887" width="14.3984375" style="108" customWidth="1"/>
    <col min="5888" max="5888" width="12" style="108" customWidth="1"/>
    <col min="5889" max="5889" width="4.19921875" style="108" customWidth="1"/>
    <col min="5890" max="5890" width="18" style="108" customWidth="1"/>
    <col min="5891" max="5891" width="13.3984375" style="108" customWidth="1"/>
    <col min="5892" max="5892" width="10" style="108" customWidth="1"/>
    <col min="5893" max="5893" width="10.19921875" style="108" customWidth="1"/>
    <col min="5894" max="5894" width="10.09765625" style="108" customWidth="1"/>
    <col min="5895" max="5895" width="8.59765625" style="108" customWidth="1"/>
    <col min="5896" max="5897" width="7.59765625" style="108" customWidth="1"/>
    <col min="5898" max="5898" width="6.59765625" style="108" customWidth="1"/>
    <col min="5899" max="5899" width="7.59765625" style="108" customWidth="1"/>
    <col min="5900" max="5901" width="13.69921875" style="108" customWidth="1"/>
    <col min="5902" max="5902" width="6.59765625" style="108" customWidth="1"/>
    <col min="5903" max="5903" width="5.19921875" style="108" customWidth="1"/>
    <col min="5904" max="5904" width="6.59765625" style="108" customWidth="1"/>
    <col min="5905" max="5910" width="7.59765625" style="108" customWidth="1"/>
    <col min="5911" max="5912" width="8.5" style="108" customWidth="1"/>
    <col min="5913" max="5913" width="8.19921875" style="108" customWidth="1"/>
    <col min="5914" max="5914" width="8.09765625" style="108" customWidth="1"/>
    <col min="5915" max="5915" width="5.09765625" style="108" customWidth="1"/>
    <col min="5916" max="5916" width="6.69921875" style="108" customWidth="1"/>
    <col min="5917" max="5917" width="7.69921875" style="108" customWidth="1"/>
    <col min="5918" max="5918" width="11.8984375" style="108" customWidth="1"/>
    <col min="5919" max="5919" width="17.5" style="108" customWidth="1"/>
    <col min="5920" max="5921" width="9.19921875" style="108" customWidth="1"/>
    <col min="5922" max="5924" width="8.59765625" style="108" customWidth="1"/>
    <col min="5925" max="5925" width="10.8984375" style="108" customWidth="1"/>
    <col min="5926" max="5927" width="8.59765625" style="108" customWidth="1"/>
    <col min="5928" max="5928" width="10.59765625" style="108" customWidth="1"/>
    <col min="5929" max="5929" width="8.59765625" style="108" customWidth="1"/>
    <col min="5930" max="6139" width="8.59765625" style="108"/>
    <col min="6140" max="6140" width="7.8984375" style="108" customWidth="1"/>
    <col min="6141" max="6141" width="23.59765625" style="108" customWidth="1"/>
    <col min="6142" max="6143" width="14.3984375" style="108" customWidth="1"/>
    <col min="6144" max="6144" width="12" style="108" customWidth="1"/>
    <col min="6145" max="6145" width="4.19921875" style="108" customWidth="1"/>
    <col min="6146" max="6146" width="18" style="108" customWidth="1"/>
    <col min="6147" max="6147" width="13.3984375" style="108" customWidth="1"/>
    <col min="6148" max="6148" width="10" style="108" customWidth="1"/>
    <col min="6149" max="6149" width="10.19921875" style="108" customWidth="1"/>
    <col min="6150" max="6150" width="10.09765625" style="108" customWidth="1"/>
    <col min="6151" max="6151" width="8.59765625" style="108" customWidth="1"/>
    <col min="6152" max="6153" width="7.59765625" style="108" customWidth="1"/>
    <col min="6154" max="6154" width="6.59765625" style="108" customWidth="1"/>
    <col min="6155" max="6155" width="7.59765625" style="108" customWidth="1"/>
    <col min="6156" max="6157" width="13.69921875" style="108" customWidth="1"/>
    <col min="6158" max="6158" width="6.59765625" style="108" customWidth="1"/>
    <col min="6159" max="6159" width="5.19921875" style="108" customWidth="1"/>
    <col min="6160" max="6160" width="6.59765625" style="108" customWidth="1"/>
    <col min="6161" max="6166" width="7.59765625" style="108" customWidth="1"/>
    <col min="6167" max="6168" width="8.5" style="108" customWidth="1"/>
    <col min="6169" max="6169" width="8.19921875" style="108" customWidth="1"/>
    <col min="6170" max="6170" width="8.09765625" style="108" customWidth="1"/>
    <col min="6171" max="6171" width="5.09765625" style="108" customWidth="1"/>
    <col min="6172" max="6172" width="6.69921875" style="108" customWidth="1"/>
    <col min="6173" max="6173" width="7.69921875" style="108" customWidth="1"/>
    <col min="6174" max="6174" width="11.8984375" style="108" customWidth="1"/>
    <col min="6175" max="6175" width="17.5" style="108" customWidth="1"/>
    <col min="6176" max="6177" width="9.19921875" style="108" customWidth="1"/>
    <col min="6178" max="6180" width="8.59765625" style="108" customWidth="1"/>
    <col min="6181" max="6181" width="10.8984375" style="108" customWidth="1"/>
    <col min="6182" max="6183" width="8.59765625" style="108" customWidth="1"/>
    <col min="6184" max="6184" width="10.59765625" style="108" customWidth="1"/>
    <col min="6185" max="6185" width="8.59765625" style="108" customWidth="1"/>
    <col min="6186" max="6395" width="8.59765625" style="108"/>
    <col min="6396" max="6396" width="7.8984375" style="108" customWidth="1"/>
    <col min="6397" max="6397" width="23.59765625" style="108" customWidth="1"/>
    <col min="6398" max="6399" width="14.3984375" style="108" customWidth="1"/>
    <col min="6400" max="6400" width="12" style="108" customWidth="1"/>
    <col min="6401" max="6401" width="4.19921875" style="108" customWidth="1"/>
    <col min="6402" max="6402" width="18" style="108" customWidth="1"/>
    <col min="6403" max="6403" width="13.3984375" style="108" customWidth="1"/>
    <col min="6404" max="6404" width="10" style="108" customWidth="1"/>
    <col min="6405" max="6405" width="10.19921875" style="108" customWidth="1"/>
    <col min="6406" max="6406" width="10.09765625" style="108" customWidth="1"/>
    <col min="6407" max="6407" width="8.59765625" style="108" customWidth="1"/>
    <col min="6408" max="6409" width="7.59765625" style="108" customWidth="1"/>
    <col min="6410" max="6410" width="6.59765625" style="108" customWidth="1"/>
    <col min="6411" max="6411" width="7.59765625" style="108" customWidth="1"/>
    <col min="6412" max="6413" width="13.69921875" style="108" customWidth="1"/>
    <col min="6414" max="6414" width="6.59765625" style="108" customWidth="1"/>
    <col min="6415" max="6415" width="5.19921875" style="108" customWidth="1"/>
    <col min="6416" max="6416" width="6.59765625" style="108" customWidth="1"/>
    <col min="6417" max="6422" width="7.59765625" style="108" customWidth="1"/>
    <col min="6423" max="6424" width="8.5" style="108" customWidth="1"/>
    <col min="6425" max="6425" width="8.19921875" style="108" customWidth="1"/>
    <col min="6426" max="6426" width="8.09765625" style="108" customWidth="1"/>
    <col min="6427" max="6427" width="5.09765625" style="108" customWidth="1"/>
    <col min="6428" max="6428" width="6.69921875" style="108" customWidth="1"/>
    <col min="6429" max="6429" width="7.69921875" style="108" customWidth="1"/>
    <col min="6430" max="6430" width="11.8984375" style="108" customWidth="1"/>
    <col min="6431" max="6431" width="17.5" style="108" customWidth="1"/>
    <col min="6432" max="6433" width="9.19921875" style="108" customWidth="1"/>
    <col min="6434" max="6436" width="8.59765625" style="108" customWidth="1"/>
    <col min="6437" max="6437" width="10.8984375" style="108" customWidth="1"/>
    <col min="6438" max="6439" width="8.59765625" style="108" customWidth="1"/>
    <col min="6440" max="6440" width="10.59765625" style="108" customWidth="1"/>
    <col min="6441" max="6441" width="8.59765625" style="108" customWidth="1"/>
    <col min="6442" max="6651" width="8.59765625" style="108"/>
    <col min="6652" max="6652" width="7.8984375" style="108" customWidth="1"/>
    <col min="6653" max="6653" width="23.59765625" style="108" customWidth="1"/>
    <col min="6654" max="6655" width="14.3984375" style="108" customWidth="1"/>
    <col min="6656" max="6656" width="12" style="108" customWidth="1"/>
    <col min="6657" max="6657" width="4.19921875" style="108" customWidth="1"/>
    <col min="6658" max="6658" width="18" style="108" customWidth="1"/>
    <col min="6659" max="6659" width="13.3984375" style="108" customWidth="1"/>
    <col min="6660" max="6660" width="10" style="108" customWidth="1"/>
    <col min="6661" max="6661" width="10.19921875" style="108" customWidth="1"/>
    <col min="6662" max="6662" width="10.09765625" style="108" customWidth="1"/>
    <col min="6663" max="6663" width="8.59765625" style="108" customWidth="1"/>
    <col min="6664" max="6665" width="7.59765625" style="108" customWidth="1"/>
    <col min="6666" max="6666" width="6.59765625" style="108" customWidth="1"/>
    <col min="6667" max="6667" width="7.59765625" style="108" customWidth="1"/>
    <col min="6668" max="6669" width="13.69921875" style="108" customWidth="1"/>
    <col min="6670" max="6670" width="6.59765625" style="108" customWidth="1"/>
    <col min="6671" max="6671" width="5.19921875" style="108" customWidth="1"/>
    <col min="6672" max="6672" width="6.59765625" style="108" customWidth="1"/>
    <col min="6673" max="6678" width="7.59765625" style="108" customWidth="1"/>
    <col min="6679" max="6680" width="8.5" style="108" customWidth="1"/>
    <col min="6681" max="6681" width="8.19921875" style="108" customWidth="1"/>
    <col min="6682" max="6682" width="8.09765625" style="108" customWidth="1"/>
    <col min="6683" max="6683" width="5.09765625" style="108" customWidth="1"/>
    <col min="6684" max="6684" width="6.69921875" style="108" customWidth="1"/>
    <col min="6685" max="6685" width="7.69921875" style="108" customWidth="1"/>
    <col min="6686" max="6686" width="11.8984375" style="108" customWidth="1"/>
    <col min="6687" max="6687" width="17.5" style="108" customWidth="1"/>
    <col min="6688" max="6689" width="9.19921875" style="108" customWidth="1"/>
    <col min="6690" max="6692" width="8.59765625" style="108" customWidth="1"/>
    <col min="6693" max="6693" width="10.8984375" style="108" customWidth="1"/>
    <col min="6694" max="6695" width="8.59765625" style="108" customWidth="1"/>
    <col min="6696" max="6696" width="10.59765625" style="108" customWidth="1"/>
    <col min="6697" max="6697" width="8.59765625" style="108" customWidth="1"/>
    <col min="6698" max="6907" width="8.59765625" style="108"/>
    <col min="6908" max="6908" width="7.8984375" style="108" customWidth="1"/>
    <col min="6909" max="6909" width="23.59765625" style="108" customWidth="1"/>
    <col min="6910" max="6911" width="14.3984375" style="108" customWidth="1"/>
    <col min="6912" max="6912" width="12" style="108" customWidth="1"/>
    <col min="6913" max="6913" width="4.19921875" style="108" customWidth="1"/>
    <col min="6914" max="6914" width="18" style="108" customWidth="1"/>
    <col min="6915" max="6915" width="13.3984375" style="108" customWidth="1"/>
    <col min="6916" max="6916" width="10" style="108" customWidth="1"/>
    <col min="6917" max="6917" width="10.19921875" style="108" customWidth="1"/>
    <col min="6918" max="6918" width="10.09765625" style="108" customWidth="1"/>
    <col min="6919" max="6919" width="8.59765625" style="108" customWidth="1"/>
    <col min="6920" max="6921" width="7.59765625" style="108" customWidth="1"/>
    <col min="6922" max="6922" width="6.59765625" style="108" customWidth="1"/>
    <col min="6923" max="6923" width="7.59765625" style="108" customWidth="1"/>
    <col min="6924" max="6925" width="13.69921875" style="108" customWidth="1"/>
    <col min="6926" max="6926" width="6.59765625" style="108" customWidth="1"/>
    <col min="6927" max="6927" width="5.19921875" style="108" customWidth="1"/>
    <col min="6928" max="6928" width="6.59765625" style="108" customWidth="1"/>
    <col min="6929" max="6934" width="7.59765625" style="108" customWidth="1"/>
    <col min="6935" max="6936" width="8.5" style="108" customWidth="1"/>
    <col min="6937" max="6937" width="8.19921875" style="108" customWidth="1"/>
    <col min="6938" max="6938" width="8.09765625" style="108" customWidth="1"/>
    <col min="6939" max="6939" width="5.09765625" style="108" customWidth="1"/>
    <col min="6940" max="6940" width="6.69921875" style="108" customWidth="1"/>
    <col min="6941" max="6941" width="7.69921875" style="108" customWidth="1"/>
    <col min="6942" max="6942" width="11.8984375" style="108" customWidth="1"/>
    <col min="6943" max="6943" width="17.5" style="108" customWidth="1"/>
    <col min="6944" max="6945" width="9.19921875" style="108" customWidth="1"/>
    <col min="6946" max="6948" width="8.59765625" style="108" customWidth="1"/>
    <col min="6949" max="6949" width="10.8984375" style="108" customWidth="1"/>
    <col min="6950" max="6951" width="8.59765625" style="108" customWidth="1"/>
    <col min="6952" max="6952" width="10.59765625" style="108" customWidth="1"/>
    <col min="6953" max="6953" width="8.59765625" style="108" customWidth="1"/>
    <col min="6954" max="7163" width="8.59765625" style="108"/>
    <col min="7164" max="7164" width="7.8984375" style="108" customWidth="1"/>
    <col min="7165" max="7165" width="23.59765625" style="108" customWidth="1"/>
    <col min="7166" max="7167" width="14.3984375" style="108" customWidth="1"/>
    <col min="7168" max="7168" width="12" style="108" customWidth="1"/>
    <col min="7169" max="7169" width="4.19921875" style="108" customWidth="1"/>
    <col min="7170" max="7170" width="18" style="108" customWidth="1"/>
    <col min="7171" max="7171" width="13.3984375" style="108" customWidth="1"/>
    <col min="7172" max="7172" width="10" style="108" customWidth="1"/>
    <col min="7173" max="7173" width="10.19921875" style="108" customWidth="1"/>
    <col min="7174" max="7174" width="10.09765625" style="108" customWidth="1"/>
    <col min="7175" max="7175" width="8.59765625" style="108" customWidth="1"/>
    <col min="7176" max="7177" width="7.59765625" style="108" customWidth="1"/>
    <col min="7178" max="7178" width="6.59765625" style="108" customWidth="1"/>
    <col min="7179" max="7179" width="7.59765625" style="108" customWidth="1"/>
    <col min="7180" max="7181" width="13.69921875" style="108" customWidth="1"/>
    <col min="7182" max="7182" width="6.59765625" style="108" customWidth="1"/>
    <col min="7183" max="7183" width="5.19921875" style="108" customWidth="1"/>
    <col min="7184" max="7184" width="6.59765625" style="108" customWidth="1"/>
    <col min="7185" max="7190" width="7.59765625" style="108" customWidth="1"/>
    <col min="7191" max="7192" width="8.5" style="108" customWidth="1"/>
    <col min="7193" max="7193" width="8.19921875" style="108" customWidth="1"/>
    <col min="7194" max="7194" width="8.09765625" style="108" customWidth="1"/>
    <col min="7195" max="7195" width="5.09765625" style="108" customWidth="1"/>
    <col min="7196" max="7196" width="6.69921875" style="108" customWidth="1"/>
    <col min="7197" max="7197" width="7.69921875" style="108" customWidth="1"/>
    <col min="7198" max="7198" width="11.8984375" style="108" customWidth="1"/>
    <col min="7199" max="7199" width="17.5" style="108" customWidth="1"/>
    <col min="7200" max="7201" width="9.19921875" style="108" customWidth="1"/>
    <col min="7202" max="7204" width="8.59765625" style="108" customWidth="1"/>
    <col min="7205" max="7205" width="10.8984375" style="108" customWidth="1"/>
    <col min="7206" max="7207" width="8.59765625" style="108" customWidth="1"/>
    <col min="7208" max="7208" width="10.59765625" style="108" customWidth="1"/>
    <col min="7209" max="7209" width="8.59765625" style="108" customWidth="1"/>
    <col min="7210" max="7419" width="8.59765625" style="108"/>
    <col min="7420" max="7420" width="7.8984375" style="108" customWidth="1"/>
    <col min="7421" max="7421" width="23.59765625" style="108" customWidth="1"/>
    <col min="7422" max="7423" width="14.3984375" style="108" customWidth="1"/>
    <col min="7424" max="7424" width="12" style="108" customWidth="1"/>
    <col min="7425" max="7425" width="4.19921875" style="108" customWidth="1"/>
    <col min="7426" max="7426" width="18" style="108" customWidth="1"/>
    <col min="7427" max="7427" width="13.3984375" style="108" customWidth="1"/>
    <col min="7428" max="7428" width="10" style="108" customWidth="1"/>
    <col min="7429" max="7429" width="10.19921875" style="108" customWidth="1"/>
    <col min="7430" max="7430" width="10.09765625" style="108" customWidth="1"/>
    <col min="7431" max="7431" width="8.59765625" style="108" customWidth="1"/>
    <col min="7432" max="7433" width="7.59765625" style="108" customWidth="1"/>
    <col min="7434" max="7434" width="6.59765625" style="108" customWidth="1"/>
    <col min="7435" max="7435" width="7.59765625" style="108" customWidth="1"/>
    <col min="7436" max="7437" width="13.69921875" style="108" customWidth="1"/>
    <col min="7438" max="7438" width="6.59765625" style="108" customWidth="1"/>
    <col min="7439" max="7439" width="5.19921875" style="108" customWidth="1"/>
    <col min="7440" max="7440" width="6.59765625" style="108" customWidth="1"/>
    <col min="7441" max="7446" width="7.59765625" style="108" customWidth="1"/>
    <col min="7447" max="7448" width="8.5" style="108" customWidth="1"/>
    <col min="7449" max="7449" width="8.19921875" style="108" customWidth="1"/>
    <col min="7450" max="7450" width="8.09765625" style="108" customWidth="1"/>
    <col min="7451" max="7451" width="5.09765625" style="108" customWidth="1"/>
    <col min="7452" max="7452" width="6.69921875" style="108" customWidth="1"/>
    <col min="7453" max="7453" width="7.69921875" style="108" customWidth="1"/>
    <col min="7454" max="7454" width="11.8984375" style="108" customWidth="1"/>
    <col min="7455" max="7455" width="17.5" style="108" customWidth="1"/>
    <col min="7456" max="7457" width="9.19921875" style="108" customWidth="1"/>
    <col min="7458" max="7460" width="8.59765625" style="108" customWidth="1"/>
    <col min="7461" max="7461" width="10.8984375" style="108" customWidth="1"/>
    <col min="7462" max="7463" width="8.59765625" style="108" customWidth="1"/>
    <col min="7464" max="7464" width="10.59765625" style="108" customWidth="1"/>
    <col min="7465" max="7465" width="8.59765625" style="108" customWidth="1"/>
    <col min="7466" max="7675" width="8.59765625" style="108"/>
    <col min="7676" max="7676" width="7.8984375" style="108" customWidth="1"/>
    <col min="7677" max="7677" width="23.59765625" style="108" customWidth="1"/>
    <col min="7678" max="7679" width="14.3984375" style="108" customWidth="1"/>
    <col min="7680" max="7680" width="12" style="108" customWidth="1"/>
    <col min="7681" max="7681" width="4.19921875" style="108" customWidth="1"/>
    <col min="7682" max="7682" width="18" style="108" customWidth="1"/>
    <col min="7683" max="7683" width="13.3984375" style="108" customWidth="1"/>
    <col min="7684" max="7684" width="10" style="108" customWidth="1"/>
    <col min="7685" max="7685" width="10.19921875" style="108" customWidth="1"/>
    <col min="7686" max="7686" width="10.09765625" style="108" customWidth="1"/>
    <col min="7687" max="7687" width="8.59765625" style="108" customWidth="1"/>
    <col min="7688" max="7689" width="7.59765625" style="108" customWidth="1"/>
    <col min="7690" max="7690" width="6.59765625" style="108" customWidth="1"/>
    <col min="7691" max="7691" width="7.59765625" style="108" customWidth="1"/>
    <col min="7692" max="7693" width="13.69921875" style="108" customWidth="1"/>
    <col min="7694" max="7694" width="6.59765625" style="108" customWidth="1"/>
    <col min="7695" max="7695" width="5.19921875" style="108" customWidth="1"/>
    <col min="7696" max="7696" width="6.59765625" style="108" customWidth="1"/>
    <col min="7697" max="7702" width="7.59765625" style="108" customWidth="1"/>
    <col min="7703" max="7704" width="8.5" style="108" customWidth="1"/>
    <col min="7705" max="7705" width="8.19921875" style="108" customWidth="1"/>
    <col min="7706" max="7706" width="8.09765625" style="108" customWidth="1"/>
    <col min="7707" max="7707" width="5.09765625" style="108" customWidth="1"/>
    <col min="7708" max="7708" width="6.69921875" style="108" customWidth="1"/>
    <col min="7709" max="7709" width="7.69921875" style="108" customWidth="1"/>
    <col min="7710" max="7710" width="11.8984375" style="108" customWidth="1"/>
    <col min="7711" max="7711" width="17.5" style="108" customWidth="1"/>
    <col min="7712" max="7713" width="9.19921875" style="108" customWidth="1"/>
    <col min="7714" max="7716" width="8.59765625" style="108" customWidth="1"/>
    <col min="7717" max="7717" width="10.8984375" style="108" customWidth="1"/>
    <col min="7718" max="7719" width="8.59765625" style="108" customWidth="1"/>
    <col min="7720" max="7720" width="10.59765625" style="108" customWidth="1"/>
    <col min="7721" max="7721" width="8.59765625" style="108" customWidth="1"/>
    <col min="7722" max="7931" width="8.59765625" style="108"/>
    <col min="7932" max="7932" width="7.8984375" style="108" customWidth="1"/>
    <col min="7933" max="7933" width="23.59765625" style="108" customWidth="1"/>
    <col min="7934" max="7935" width="14.3984375" style="108" customWidth="1"/>
    <col min="7936" max="7936" width="12" style="108" customWidth="1"/>
    <col min="7937" max="7937" width="4.19921875" style="108" customWidth="1"/>
    <col min="7938" max="7938" width="18" style="108" customWidth="1"/>
    <col min="7939" max="7939" width="13.3984375" style="108" customWidth="1"/>
    <col min="7940" max="7940" width="10" style="108" customWidth="1"/>
    <col min="7941" max="7941" width="10.19921875" style="108" customWidth="1"/>
    <col min="7942" max="7942" width="10.09765625" style="108" customWidth="1"/>
    <col min="7943" max="7943" width="8.59765625" style="108" customWidth="1"/>
    <col min="7944" max="7945" width="7.59765625" style="108" customWidth="1"/>
    <col min="7946" max="7946" width="6.59765625" style="108" customWidth="1"/>
    <col min="7947" max="7947" width="7.59765625" style="108" customWidth="1"/>
    <col min="7948" max="7949" width="13.69921875" style="108" customWidth="1"/>
    <col min="7950" max="7950" width="6.59765625" style="108" customWidth="1"/>
    <col min="7951" max="7951" width="5.19921875" style="108" customWidth="1"/>
    <col min="7952" max="7952" width="6.59765625" style="108" customWidth="1"/>
    <col min="7953" max="7958" width="7.59765625" style="108" customWidth="1"/>
    <col min="7959" max="7960" width="8.5" style="108" customWidth="1"/>
    <col min="7961" max="7961" width="8.19921875" style="108" customWidth="1"/>
    <col min="7962" max="7962" width="8.09765625" style="108" customWidth="1"/>
    <col min="7963" max="7963" width="5.09765625" style="108" customWidth="1"/>
    <col min="7964" max="7964" width="6.69921875" style="108" customWidth="1"/>
    <col min="7965" max="7965" width="7.69921875" style="108" customWidth="1"/>
    <col min="7966" max="7966" width="11.8984375" style="108" customWidth="1"/>
    <col min="7967" max="7967" width="17.5" style="108" customWidth="1"/>
    <col min="7968" max="7969" width="9.19921875" style="108" customWidth="1"/>
    <col min="7970" max="7972" width="8.59765625" style="108" customWidth="1"/>
    <col min="7973" max="7973" width="10.8984375" style="108" customWidth="1"/>
    <col min="7974" max="7975" width="8.59765625" style="108" customWidth="1"/>
    <col min="7976" max="7976" width="10.59765625" style="108" customWidth="1"/>
    <col min="7977" max="7977" width="8.59765625" style="108" customWidth="1"/>
    <col min="7978" max="8187" width="8.59765625" style="108"/>
    <col min="8188" max="8188" width="7.8984375" style="108" customWidth="1"/>
    <col min="8189" max="8189" width="23.59765625" style="108" customWidth="1"/>
    <col min="8190" max="8191" width="14.3984375" style="108" customWidth="1"/>
    <col min="8192" max="8192" width="12" style="108" customWidth="1"/>
    <col min="8193" max="8193" width="4.19921875" style="108" customWidth="1"/>
    <col min="8194" max="8194" width="18" style="108" customWidth="1"/>
    <col min="8195" max="8195" width="13.3984375" style="108" customWidth="1"/>
    <col min="8196" max="8196" width="10" style="108" customWidth="1"/>
    <col min="8197" max="8197" width="10.19921875" style="108" customWidth="1"/>
    <col min="8198" max="8198" width="10.09765625" style="108" customWidth="1"/>
    <col min="8199" max="8199" width="8.59765625" style="108" customWidth="1"/>
    <col min="8200" max="8201" width="7.59765625" style="108" customWidth="1"/>
    <col min="8202" max="8202" width="6.59765625" style="108" customWidth="1"/>
    <col min="8203" max="8203" width="7.59765625" style="108" customWidth="1"/>
    <col min="8204" max="8205" width="13.69921875" style="108" customWidth="1"/>
    <col min="8206" max="8206" width="6.59765625" style="108" customWidth="1"/>
    <col min="8207" max="8207" width="5.19921875" style="108" customWidth="1"/>
    <col min="8208" max="8208" width="6.59765625" style="108" customWidth="1"/>
    <col min="8209" max="8214" width="7.59765625" style="108" customWidth="1"/>
    <col min="8215" max="8216" width="8.5" style="108" customWidth="1"/>
    <col min="8217" max="8217" width="8.19921875" style="108" customWidth="1"/>
    <col min="8218" max="8218" width="8.09765625" style="108" customWidth="1"/>
    <col min="8219" max="8219" width="5.09765625" style="108" customWidth="1"/>
    <col min="8220" max="8220" width="6.69921875" style="108" customWidth="1"/>
    <col min="8221" max="8221" width="7.69921875" style="108" customWidth="1"/>
    <col min="8222" max="8222" width="11.8984375" style="108" customWidth="1"/>
    <col min="8223" max="8223" width="17.5" style="108" customWidth="1"/>
    <col min="8224" max="8225" width="9.19921875" style="108" customWidth="1"/>
    <col min="8226" max="8228" width="8.59765625" style="108" customWidth="1"/>
    <col min="8229" max="8229" width="10.8984375" style="108" customWidth="1"/>
    <col min="8230" max="8231" width="8.59765625" style="108" customWidth="1"/>
    <col min="8232" max="8232" width="10.59765625" style="108" customWidth="1"/>
    <col min="8233" max="8233" width="8.59765625" style="108" customWidth="1"/>
    <col min="8234" max="8443" width="8.59765625" style="108"/>
    <col min="8444" max="8444" width="7.8984375" style="108" customWidth="1"/>
    <col min="8445" max="8445" width="23.59765625" style="108" customWidth="1"/>
    <col min="8446" max="8447" width="14.3984375" style="108" customWidth="1"/>
    <col min="8448" max="8448" width="12" style="108" customWidth="1"/>
    <col min="8449" max="8449" width="4.19921875" style="108" customWidth="1"/>
    <col min="8450" max="8450" width="18" style="108" customWidth="1"/>
    <col min="8451" max="8451" width="13.3984375" style="108" customWidth="1"/>
    <col min="8452" max="8452" width="10" style="108" customWidth="1"/>
    <col min="8453" max="8453" width="10.19921875" style="108" customWidth="1"/>
    <col min="8454" max="8454" width="10.09765625" style="108" customWidth="1"/>
    <col min="8455" max="8455" width="8.59765625" style="108" customWidth="1"/>
    <col min="8456" max="8457" width="7.59765625" style="108" customWidth="1"/>
    <col min="8458" max="8458" width="6.59765625" style="108" customWidth="1"/>
    <col min="8459" max="8459" width="7.59765625" style="108" customWidth="1"/>
    <col min="8460" max="8461" width="13.69921875" style="108" customWidth="1"/>
    <col min="8462" max="8462" width="6.59765625" style="108" customWidth="1"/>
    <col min="8463" max="8463" width="5.19921875" style="108" customWidth="1"/>
    <col min="8464" max="8464" width="6.59765625" style="108" customWidth="1"/>
    <col min="8465" max="8470" width="7.59765625" style="108" customWidth="1"/>
    <col min="8471" max="8472" width="8.5" style="108" customWidth="1"/>
    <col min="8473" max="8473" width="8.19921875" style="108" customWidth="1"/>
    <col min="8474" max="8474" width="8.09765625" style="108" customWidth="1"/>
    <col min="8475" max="8475" width="5.09765625" style="108" customWidth="1"/>
    <col min="8476" max="8476" width="6.69921875" style="108" customWidth="1"/>
    <col min="8477" max="8477" width="7.69921875" style="108" customWidth="1"/>
    <col min="8478" max="8478" width="11.8984375" style="108" customWidth="1"/>
    <col min="8479" max="8479" width="17.5" style="108" customWidth="1"/>
    <col min="8480" max="8481" width="9.19921875" style="108" customWidth="1"/>
    <col min="8482" max="8484" width="8.59765625" style="108" customWidth="1"/>
    <col min="8485" max="8485" width="10.8984375" style="108" customWidth="1"/>
    <col min="8486" max="8487" width="8.59765625" style="108" customWidth="1"/>
    <col min="8488" max="8488" width="10.59765625" style="108" customWidth="1"/>
    <col min="8489" max="8489" width="8.59765625" style="108" customWidth="1"/>
    <col min="8490" max="8699" width="8.59765625" style="108"/>
    <col min="8700" max="8700" width="7.8984375" style="108" customWidth="1"/>
    <col min="8701" max="8701" width="23.59765625" style="108" customWidth="1"/>
    <col min="8702" max="8703" width="14.3984375" style="108" customWidth="1"/>
    <col min="8704" max="8704" width="12" style="108" customWidth="1"/>
    <col min="8705" max="8705" width="4.19921875" style="108" customWidth="1"/>
    <col min="8706" max="8706" width="18" style="108" customWidth="1"/>
    <col min="8707" max="8707" width="13.3984375" style="108" customWidth="1"/>
    <col min="8708" max="8708" width="10" style="108" customWidth="1"/>
    <col min="8709" max="8709" width="10.19921875" style="108" customWidth="1"/>
    <col min="8710" max="8710" width="10.09765625" style="108" customWidth="1"/>
    <col min="8711" max="8711" width="8.59765625" style="108" customWidth="1"/>
    <col min="8712" max="8713" width="7.59765625" style="108" customWidth="1"/>
    <col min="8714" max="8714" width="6.59765625" style="108" customWidth="1"/>
    <col min="8715" max="8715" width="7.59765625" style="108" customWidth="1"/>
    <col min="8716" max="8717" width="13.69921875" style="108" customWidth="1"/>
    <col min="8718" max="8718" width="6.59765625" style="108" customWidth="1"/>
    <col min="8719" max="8719" width="5.19921875" style="108" customWidth="1"/>
    <col min="8720" max="8720" width="6.59765625" style="108" customWidth="1"/>
    <col min="8721" max="8726" width="7.59765625" style="108" customWidth="1"/>
    <col min="8727" max="8728" width="8.5" style="108" customWidth="1"/>
    <col min="8729" max="8729" width="8.19921875" style="108" customWidth="1"/>
    <col min="8730" max="8730" width="8.09765625" style="108" customWidth="1"/>
    <col min="8731" max="8731" width="5.09765625" style="108" customWidth="1"/>
    <col min="8732" max="8732" width="6.69921875" style="108" customWidth="1"/>
    <col min="8733" max="8733" width="7.69921875" style="108" customWidth="1"/>
    <col min="8734" max="8734" width="11.8984375" style="108" customWidth="1"/>
    <col min="8735" max="8735" width="17.5" style="108" customWidth="1"/>
    <col min="8736" max="8737" width="9.19921875" style="108" customWidth="1"/>
    <col min="8738" max="8740" width="8.59765625" style="108" customWidth="1"/>
    <col min="8741" max="8741" width="10.8984375" style="108" customWidth="1"/>
    <col min="8742" max="8743" width="8.59765625" style="108" customWidth="1"/>
    <col min="8744" max="8744" width="10.59765625" style="108" customWidth="1"/>
    <col min="8745" max="8745" width="8.59765625" style="108" customWidth="1"/>
    <col min="8746" max="8955" width="8.59765625" style="108"/>
    <col min="8956" max="8956" width="7.8984375" style="108" customWidth="1"/>
    <col min="8957" max="8957" width="23.59765625" style="108" customWidth="1"/>
    <col min="8958" max="8959" width="14.3984375" style="108" customWidth="1"/>
    <col min="8960" max="8960" width="12" style="108" customWidth="1"/>
    <col min="8961" max="8961" width="4.19921875" style="108" customWidth="1"/>
    <col min="8962" max="8962" width="18" style="108" customWidth="1"/>
    <col min="8963" max="8963" width="13.3984375" style="108" customWidth="1"/>
    <col min="8964" max="8964" width="10" style="108" customWidth="1"/>
    <col min="8965" max="8965" width="10.19921875" style="108" customWidth="1"/>
    <col min="8966" max="8966" width="10.09765625" style="108" customWidth="1"/>
    <col min="8967" max="8967" width="8.59765625" style="108" customWidth="1"/>
    <col min="8968" max="8969" width="7.59765625" style="108" customWidth="1"/>
    <col min="8970" max="8970" width="6.59765625" style="108" customWidth="1"/>
    <col min="8971" max="8971" width="7.59765625" style="108" customWidth="1"/>
    <col min="8972" max="8973" width="13.69921875" style="108" customWidth="1"/>
    <col min="8974" max="8974" width="6.59765625" style="108" customWidth="1"/>
    <col min="8975" max="8975" width="5.19921875" style="108" customWidth="1"/>
    <col min="8976" max="8976" width="6.59765625" style="108" customWidth="1"/>
    <col min="8977" max="8982" width="7.59765625" style="108" customWidth="1"/>
    <col min="8983" max="8984" width="8.5" style="108" customWidth="1"/>
    <col min="8985" max="8985" width="8.19921875" style="108" customWidth="1"/>
    <col min="8986" max="8986" width="8.09765625" style="108" customWidth="1"/>
    <col min="8987" max="8987" width="5.09765625" style="108" customWidth="1"/>
    <col min="8988" max="8988" width="6.69921875" style="108" customWidth="1"/>
    <col min="8989" max="8989" width="7.69921875" style="108" customWidth="1"/>
    <col min="8990" max="8990" width="11.8984375" style="108" customWidth="1"/>
    <col min="8991" max="8991" width="17.5" style="108" customWidth="1"/>
    <col min="8992" max="8993" width="9.19921875" style="108" customWidth="1"/>
    <col min="8994" max="8996" width="8.59765625" style="108" customWidth="1"/>
    <col min="8997" max="8997" width="10.8984375" style="108" customWidth="1"/>
    <col min="8998" max="8999" width="8.59765625" style="108" customWidth="1"/>
    <col min="9000" max="9000" width="10.59765625" style="108" customWidth="1"/>
    <col min="9001" max="9001" width="8.59765625" style="108" customWidth="1"/>
    <col min="9002" max="9211" width="8.59765625" style="108"/>
    <col min="9212" max="9212" width="7.8984375" style="108" customWidth="1"/>
    <col min="9213" max="9213" width="23.59765625" style="108" customWidth="1"/>
    <col min="9214" max="9215" width="14.3984375" style="108" customWidth="1"/>
    <col min="9216" max="9216" width="12" style="108" customWidth="1"/>
    <col min="9217" max="9217" width="4.19921875" style="108" customWidth="1"/>
    <col min="9218" max="9218" width="18" style="108" customWidth="1"/>
    <col min="9219" max="9219" width="13.3984375" style="108" customWidth="1"/>
    <col min="9220" max="9220" width="10" style="108" customWidth="1"/>
    <col min="9221" max="9221" width="10.19921875" style="108" customWidth="1"/>
    <col min="9222" max="9222" width="10.09765625" style="108" customWidth="1"/>
    <col min="9223" max="9223" width="8.59765625" style="108" customWidth="1"/>
    <col min="9224" max="9225" width="7.59765625" style="108" customWidth="1"/>
    <col min="9226" max="9226" width="6.59765625" style="108" customWidth="1"/>
    <col min="9227" max="9227" width="7.59765625" style="108" customWidth="1"/>
    <col min="9228" max="9229" width="13.69921875" style="108" customWidth="1"/>
    <col min="9230" max="9230" width="6.59765625" style="108" customWidth="1"/>
    <col min="9231" max="9231" width="5.19921875" style="108" customWidth="1"/>
    <col min="9232" max="9232" width="6.59765625" style="108" customWidth="1"/>
    <col min="9233" max="9238" width="7.59765625" style="108" customWidth="1"/>
    <col min="9239" max="9240" width="8.5" style="108" customWidth="1"/>
    <col min="9241" max="9241" width="8.19921875" style="108" customWidth="1"/>
    <col min="9242" max="9242" width="8.09765625" style="108" customWidth="1"/>
    <col min="9243" max="9243" width="5.09765625" style="108" customWidth="1"/>
    <col min="9244" max="9244" width="6.69921875" style="108" customWidth="1"/>
    <col min="9245" max="9245" width="7.69921875" style="108" customWidth="1"/>
    <col min="9246" max="9246" width="11.8984375" style="108" customWidth="1"/>
    <col min="9247" max="9247" width="17.5" style="108" customWidth="1"/>
    <col min="9248" max="9249" width="9.19921875" style="108" customWidth="1"/>
    <col min="9250" max="9252" width="8.59765625" style="108" customWidth="1"/>
    <col min="9253" max="9253" width="10.8984375" style="108" customWidth="1"/>
    <col min="9254" max="9255" width="8.59765625" style="108" customWidth="1"/>
    <col min="9256" max="9256" width="10.59765625" style="108" customWidth="1"/>
    <col min="9257" max="9257" width="8.59765625" style="108" customWidth="1"/>
    <col min="9258" max="9467" width="8.59765625" style="108"/>
    <col min="9468" max="9468" width="7.8984375" style="108" customWidth="1"/>
    <col min="9469" max="9469" width="23.59765625" style="108" customWidth="1"/>
    <col min="9470" max="9471" width="14.3984375" style="108" customWidth="1"/>
    <col min="9472" max="9472" width="12" style="108" customWidth="1"/>
    <col min="9473" max="9473" width="4.19921875" style="108" customWidth="1"/>
    <col min="9474" max="9474" width="18" style="108" customWidth="1"/>
    <col min="9475" max="9475" width="13.3984375" style="108" customWidth="1"/>
    <col min="9476" max="9476" width="10" style="108" customWidth="1"/>
    <col min="9477" max="9477" width="10.19921875" style="108" customWidth="1"/>
    <col min="9478" max="9478" width="10.09765625" style="108" customWidth="1"/>
    <col min="9479" max="9479" width="8.59765625" style="108" customWidth="1"/>
    <col min="9480" max="9481" width="7.59765625" style="108" customWidth="1"/>
    <col min="9482" max="9482" width="6.59765625" style="108" customWidth="1"/>
    <col min="9483" max="9483" width="7.59765625" style="108" customWidth="1"/>
    <col min="9484" max="9485" width="13.69921875" style="108" customWidth="1"/>
    <col min="9486" max="9486" width="6.59765625" style="108" customWidth="1"/>
    <col min="9487" max="9487" width="5.19921875" style="108" customWidth="1"/>
    <col min="9488" max="9488" width="6.59765625" style="108" customWidth="1"/>
    <col min="9489" max="9494" width="7.59765625" style="108" customWidth="1"/>
    <col min="9495" max="9496" width="8.5" style="108" customWidth="1"/>
    <col min="9497" max="9497" width="8.19921875" style="108" customWidth="1"/>
    <col min="9498" max="9498" width="8.09765625" style="108" customWidth="1"/>
    <col min="9499" max="9499" width="5.09765625" style="108" customWidth="1"/>
    <col min="9500" max="9500" width="6.69921875" style="108" customWidth="1"/>
    <col min="9501" max="9501" width="7.69921875" style="108" customWidth="1"/>
    <col min="9502" max="9502" width="11.8984375" style="108" customWidth="1"/>
    <col min="9503" max="9503" width="17.5" style="108" customWidth="1"/>
    <col min="9504" max="9505" width="9.19921875" style="108" customWidth="1"/>
    <col min="9506" max="9508" width="8.59765625" style="108" customWidth="1"/>
    <col min="9509" max="9509" width="10.8984375" style="108" customWidth="1"/>
    <col min="9510" max="9511" width="8.59765625" style="108" customWidth="1"/>
    <col min="9512" max="9512" width="10.59765625" style="108" customWidth="1"/>
    <col min="9513" max="9513" width="8.59765625" style="108" customWidth="1"/>
    <col min="9514" max="9723" width="8.59765625" style="108"/>
    <col min="9724" max="9724" width="7.8984375" style="108" customWidth="1"/>
    <col min="9725" max="9725" width="23.59765625" style="108" customWidth="1"/>
    <col min="9726" max="9727" width="14.3984375" style="108" customWidth="1"/>
    <col min="9728" max="9728" width="12" style="108" customWidth="1"/>
    <col min="9729" max="9729" width="4.19921875" style="108" customWidth="1"/>
    <col min="9730" max="9730" width="18" style="108" customWidth="1"/>
    <col min="9731" max="9731" width="13.3984375" style="108" customWidth="1"/>
    <col min="9732" max="9732" width="10" style="108" customWidth="1"/>
    <col min="9733" max="9733" width="10.19921875" style="108" customWidth="1"/>
    <col min="9734" max="9734" width="10.09765625" style="108" customWidth="1"/>
    <col min="9735" max="9735" width="8.59765625" style="108" customWidth="1"/>
    <col min="9736" max="9737" width="7.59765625" style="108" customWidth="1"/>
    <col min="9738" max="9738" width="6.59765625" style="108" customWidth="1"/>
    <col min="9739" max="9739" width="7.59765625" style="108" customWidth="1"/>
    <col min="9740" max="9741" width="13.69921875" style="108" customWidth="1"/>
    <col min="9742" max="9742" width="6.59765625" style="108" customWidth="1"/>
    <col min="9743" max="9743" width="5.19921875" style="108" customWidth="1"/>
    <col min="9744" max="9744" width="6.59765625" style="108" customWidth="1"/>
    <col min="9745" max="9750" width="7.59765625" style="108" customWidth="1"/>
    <col min="9751" max="9752" width="8.5" style="108" customWidth="1"/>
    <col min="9753" max="9753" width="8.19921875" style="108" customWidth="1"/>
    <col min="9754" max="9754" width="8.09765625" style="108" customWidth="1"/>
    <col min="9755" max="9755" width="5.09765625" style="108" customWidth="1"/>
    <col min="9756" max="9756" width="6.69921875" style="108" customWidth="1"/>
    <col min="9757" max="9757" width="7.69921875" style="108" customWidth="1"/>
    <col min="9758" max="9758" width="11.8984375" style="108" customWidth="1"/>
    <col min="9759" max="9759" width="17.5" style="108" customWidth="1"/>
    <col min="9760" max="9761" width="9.19921875" style="108" customWidth="1"/>
    <col min="9762" max="9764" width="8.59765625" style="108" customWidth="1"/>
    <col min="9765" max="9765" width="10.8984375" style="108" customWidth="1"/>
    <col min="9766" max="9767" width="8.59765625" style="108" customWidth="1"/>
    <col min="9768" max="9768" width="10.59765625" style="108" customWidth="1"/>
    <col min="9769" max="9769" width="8.59765625" style="108" customWidth="1"/>
    <col min="9770" max="9979" width="8.59765625" style="108"/>
    <col min="9980" max="9980" width="7.8984375" style="108" customWidth="1"/>
    <col min="9981" max="9981" width="23.59765625" style="108" customWidth="1"/>
    <col min="9982" max="9983" width="14.3984375" style="108" customWidth="1"/>
    <col min="9984" max="9984" width="12" style="108" customWidth="1"/>
    <col min="9985" max="9985" width="4.19921875" style="108" customWidth="1"/>
    <col min="9986" max="9986" width="18" style="108" customWidth="1"/>
    <col min="9987" max="9987" width="13.3984375" style="108" customWidth="1"/>
    <col min="9988" max="9988" width="10" style="108" customWidth="1"/>
    <col min="9989" max="9989" width="10.19921875" style="108" customWidth="1"/>
    <col min="9990" max="9990" width="10.09765625" style="108" customWidth="1"/>
    <col min="9991" max="9991" width="8.59765625" style="108" customWidth="1"/>
    <col min="9992" max="9993" width="7.59765625" style="108" customWidth="1"/>
    <col min="9994" max="9994" width="6.59765625" style="108" customWidth="1"/>
    <col min="9995" max="9995" width="7.59765625" style="108" customWidth="1"/>
    <col min="9996" max="9997" width="13.69921875" style="108" customWidth="1"/>
    <col min="9998" max="9998" width="6.59765625" style="108" customWidth="1"/>
    <col min="9999" max="9999" width="5.19921875" style="108" customWidth="1"/>
    <col min="10000" max="10000" width="6.59765625" style="108" customWidth="1"/>
    <col min="10001" max="10006" width="7.59765625" style="108" customWidth="1"/>
    <col min="10007" max="10008" width="8.5" style="108" customWidth="1"/>
    <col min="10009" max="10009" width="8.19921875" style="108" customWidth="1"/>
    <col min="10010" max="10010" width="8.09765625" style="108" customWidth="1"/>
    <col min="10011" max="10011" width="5.09765625" style="108" customWidth="1"/>
    <col min="10012" max="10012" width="6.69921875" style="108" customWidth="1"/>
    <col min="10013" max="10013" width="7.69921875" style="108" customWidth="1"/>
    <col min="10014" max="10014" width="11.8984375" style="108" customWidth="1"/>
    <col min="10015" max="10015" width="17.5" style="108" customWidth="1"/>
    <col min="10016" max="10017" width="9.19921875" style="108" customWidth="1"/>
    <col min="10018" max="10020" width="8.59765625" style="108" customWidth="1"/>
    <col min="10021" max="10021" width="10.8984375" style="108" customWidth="1"/>
    <col min="10022" max="10023" width="8.59765625" style="108" customWidth="1"/>
    <col min="10024" max="10024" width="10.59765625" style="108" customWidth="1"/>
    <col min="10025" max="10025" width="8.59765625" style="108" customWidth="1"/>
    <col min="10026" max="10235" width="8.59765625" style="108"/>
    <col min="10236" max="10236" width="7.8984375" style="108" customWidth="1"/>
    <col min="10237" max="10237" width="23.59765625" style="108" customWidth="1"/>
    <col min="10238" max="10239" width="14.3984375" style="108" customWidth="1"/>
    <col min="10240" max="10240" width="12" style="108" customWidth="1"/>
    <col min="10241" max="10241" width="4.19921875" style="108" customWidth="1"/>
    <col min="10242" max="10242" width="18" style="108" customWidth="1"/>
    <col min="10243" max="10243" width="13.3984375" style="108" customWidth="1"/>
    <col min="10244" max="10244" width="10" style="108" customWidth="1"/>
    <col min="10245" max="10245" width="10.19921875" style="108" customWidth="1"/>
    <col min="10246" max="10246" width="10.09765625" style="108" customWidth="1"/>
    <col min="10247" max="10247" width="8.59765625" style="108" customWidth="1"/>
    <col min="10248" max="10249" width="7.59765625" style="108" customWidth="1"/>
    <col min="10250" max="10250" width="6.59765625" style="108" customWidth="1"/>
    <col min="10251" max="10251" width="7.59765625" style="108" customWidth="1"/>
    <col min="10252" max="10253" width="13.69921875" style="108" customWidth="1"/>
    <col min="10254" max="10254" width="6.59765625" style="108" customWidth="1"/>
    <col min="10255" max="10255" width="5.19921875" style="108" customWidth="1"/>
    <col min="10256" max="10256" width="6.59765625" style="108" customWidth="1"/>
    <col min="10257" max="10262" width="7.59765625" style="108" customWidth="1"/>
    <col min="10263" max="10264" width="8.5" style="108" customWidth="1"/>
    <col min="10265" max="10265" width="8.19921875" style="108" customWidth="1"/>
    <col min="10266" max="10266" width="8.09765625" style="108" customWidth="1"/>
    <col min="10267" max="10267" width="5.09765625" style="108" customWidth="1"/>
    <col min="10268" max="10268" width="6.69921875" style="108" customWidth="1"/>
    <col min="10269" max="10269" width="7.69921875" style="108" customWidth="1"/>
    <col min="10270" max="10270" width="11.8984375" style="108" customWidth="1"/>
    <col min="10271" max="10271" width="17.5" style="108" customWidth="1"/>
    <col min="10272" max="10273" width="9.19921875" style="108" customWidth="1"/>
    <col min="10274" max="10276" width="8.59765625" style="108" customWidth="1"/>
    <col min="10277" max="10277" width="10.8984375" style="108" customWidth="1"/>
    <col min="10278" max="10279" width="8.59765625" style="108" customWidth="1"/>
    <col min="10280" max="10280" width="10.59765625" style="108" customWidth="1"/>
    <col min="10281" max="10281" width="8.59765625" style="108" customWidth="1"/>
    <col min="10282" max="10491" width="8.59765625" style="108"/>
    <col min="10492" max="10492" width="7.8984375" style="108" customWidth="1"/>
    <col min="10493" max="10493" width="23.59765625" style="108" customWidth="1"/>
    <col min="10494" max="10495" width="14.3984375" style="108" customWidth="1"/>
    <col min="10496" max="10496" width="12" style="108" customWidth="1"/>
    <col min="10497" max="10497" width="4.19921875" style="108" customWidth="1"/>
    <col min="10498" max="10498" width="18" style="108" customWidth="1"/>
    <col min="10499" max="10499" width="13.3984375" style="108" customWidth="1"/>
    <col min="10500" max="10500" width="10" style="108" customWidth="1"/>
    <col min="10501" max="10501" width="10.19921875" style="108" customWidth="1"/>
    <col min="10502" max="10502" width="10.09765625" style="108" customWidth="1"/>
    <col min="10503" max="10503" width="8.59765625" style="108" customWidth="1"/>
    <col min="10504" max="10505" width="7.59765625" style="108" customWidth="1"/>
    <col min="10506" max="10506" width="6.59765625" style="108" customWidth="1"/>
    <col min="10507" max="10507" width="7.59765625" style="108" customWidth="1"/>
    <col min="10508" max="10509" width="13.69921875" style="108" customWidth="1"/>
    <col min="10510" max="10510" width="6.59765625" style="108" customWidth="1"/>
    <col min="10511" max="10511" width="5.19921875" style="108" customWidth="1"/>
    <col min="10512" max="10512" width="6.59765625" style="108" customWidth="1"/>
    <col min="10513" max="10518" width="7.59765625" style="108" customWidth="1"/>
    <col min="10519" max="10520" width="8.5" style="108" customWidth="1"/>
    <col min="10521" max="10521" width="8.19921875" style="108" customWidth="1"/>
    <col min="10522" max="10522" width="8.09765625" style="108" customWidth="1"/>
    <col min="10523" max="10523" width="5.09765625" style="108" customWidth="1"/>
    <col min="10524" max="10524" width="6.69921875" style="108" customWidth="1"/>
    <col min="10525" max="10525" width="7.69921875" style="108" customWidth="1"/>
    <col min="10526" max="10526" width="11.8984375" style="108" customWidth="1"/>
    <col min="10527" max="10527" width="17.5" style="108" customWidth="1"/>
    <col min="10528" max="10529" width="9.19921875" style="108" customWidth="1"/>
    <col min="10530" max="10532" width="8.59765625" style="108" customWidth="1"/>
    <col min="10533" max="10533" width="10.8984375" style="108" customWidth="1"/>
    <col min="10534" max="10535" width="8.59765625" style="108" customWidth="1"/>
    <col min="10536" max="10536" width="10.59765625" style="108" customWidth="1"/>
    <col min="10537" max="10537" width="8.59765625" style="108" customWidth="1"/>
    <col min="10538" max="10747" width="8.59765625" style="108"/>
    <col min="10748" max="10748" width="7.8984375" style="108" customWidth="1"/>
    <col min="10749" max="10749" width="23.59765625" style="108" customWidth="1"/>
    <col min="10750" max="10751" width="14.3984375" style="108" customWidth="1"/>
    <col min="10752" max="10752" width="12" style="108" customWidth="1"/>
    <col min="10753" max="10753" width="4.19921875" style="108" customWidth="1"/>
    <col min="10754" max="10754" width="18" style="108" customWidth="1"/>
    <col min="10755" max="10755" width="13.3984375" style="108" customWidth="1"/>
    <col min="10756" max="10756" width="10" style="108" customWidth="1"/>
    <col min="10757" max="10757" width="10.19921875" style="108" customWidth="1"/>
    <col min="10758" max="10758" width="10.09765625" style="108" customWidth="1"/>
    <col min="10759" max="10759" width="8.59765625" style="108" customWidth="1"/>
    <col min="10760" max="10761" width="7.59765625" style="108" customWidth="1"/>
    <col min="10762" max="10762" width="6.59765625" style="108" customWidth="1"/>
    <col min="10763" max="10763" width="7.59765625" style="108" customWidth="1"/>
    <col min="10764" max="10765" width="13.69921875" style="108" customWidth="1"/>
    <col min="10766" max="10766" width="6.59765625" style="108" customWidth="1"/>
    <col min="10767" max="10767" width="5.19921875" style="108" customWidth="1"/>
    <col min="10768" max="10768" width="6.59765625" style="108" customWidth="1"/>
    <col min="10769" max="10774" width="7.59765625" style="108" customWidth="1"/>
    <col min="10775" max="10776" width="8.5" style="108" customWidth="1"/>
    <col min="10777" max="10777" width="8.19921875" style="108" customWidth="1"/>
    <col min="10778" max="10778" width="8.09765625" style="108" customWidth="1"/>
    <col min="10779" max="10779" width="5.09765625" style="108" customWidth="1"/>
    <col min="10780" max="10780" width="6.69921875" style="108" customWidth="1"/>
    <col min="10781" max="10781" width="7.69921875" style="108" customWidth="1"/>
    <col min="10782" max="10782" width="11.8984375" style="108" customWidth="1"/>
    <col min="10783" max="10783" width="17.5" style="108" customWidth="1"/>
    <col min="10784" max="10785" width="9.19921875" style="108" customWidth="1"/>
    <col min="10786" max="10788" width="8.59765625" style="108" customWidth="1"/>
    <col min="10789" max="10789" width="10.8984375" style="108" customWidth="1"/>
    <col min="10790" max="10791" width="8.59765625" style="108" customWidth="1"/>
    <col min="10792" max="10792" width="10.59765625" style="108" customWidth="1"/>
    <col min="10793" max="10793" width="8.59765625" style="108" customWidth="1"/>
    <col min="10794" max="11003" width="8.59765625" style="108"/>
    <col min="11004" max="11004" width="7.8984375" style="108" customWidth="1"/>
    <col min="11005" max="11005" width="23.59765625" style="108" customWidth="1"/>
    <col min="11006" max="11007" width="14.3984375" style="108" customWidth="1"/>
    <col min="11008" max="11008" width="12" style="108" customWidth="1"/>
    <col min="11009" max="11009" width="4.19921875" style="108" customWidth="1"/>
    <col min="11010" max="11010" width="18" style="108" customWidth="1"/>
    <col min="11011" max="11011" width="13.3984375" style="108" customWidth="1"/>
    <col min="11012" max="11012" width="10" style="108" customWidth="1"/>
    <col min="11013" max="11013" width="10.19921875" style="108" customWidth="1"/>
    <col min="11014" max="11014" width="10.09765625" style="108" customWidth="1"/>
    <col min="11015" max="11015" width="8.59765625" style="108" customWidth="1"/>
    <col min="11016" max="11017" width="7.59765625" style="108" customWidth="1"/>
    <col min="11018" max="11018" width="6.59765625" style="108" customWidth="1"/>
    <col min="11019" max="11019" width="7.59765625" style="108" customWidth="1"/>
    <col min="11020" max="11021" width="13.69921875" style="108" customWidth="1"/>
    <col min="11022" max="11022" width="6.59765625" style="108" customWidth="1"/>
    <col min="11023" max="11023" width="5.19921875" style="108" customWidth="1"/>
    <col min="11024" max="11024" width="6.59765625" style="108" customWidth="1"/>
    <col min="11025" max="11030" width="7.59765625" style="108" customWidth="1"/>
    <col min="11031" max="11032" width="8.5" style="108" customWidth="1"/>
    <col min="11033" max="11033" width="8.19921875" style="108" customWidth="1"/>
    <col min="11034" max="11034" width="8.09765625" style="108" customWidth="1"/>
    <col min="11035" max="11035" width="5.09765625" style="108" customWidth="1"/>
    <col min="11036" max="11036" width="6.69921875" style="108" customWidth="1"/>
    <col min="11037" max="11037" width="7.69921875" style="108" customWidth="1"/>
    <col min="11038" max="11038" width="11.8984375" style="108" customWidth="1"/>
    <col min="11039" max="11039" width="17.5" style="108" customWidth="1"/>
    <col min="11040" max="11041" width="9.19921875" style="108" customWidth="1"/>
    <col min="11042" max="11044" width="8.59765625" style="108" customWidth="1"/>
    <col min="11045" max="11045" width="10.8984375" style="108" customWidth="1"/>
    <col min="11046" max="11047" width="8.59765625" style="108" customWidth="1"/>
    <col min="11048" max="11048" width="10.59765625" style="108" customWidth="1"/>
    <col min="11049" max="11049" width="8.59765625" style="108" customWidth="1"/>
    <col min="11050" max="11259" width="8.59765625" style="108"/>
    <col min="11260" max="11260" width="7.8984375" style="108" customWidth="1"/>
    <col min="11261" max="11261" width="23.59765625" style="108" customWidth="1"/>
    <col min="11262" max="11263" width="14.3984375" style="108" customWidth="1"/>
    <col min="11264" max="11264" width="12" style="108" customWidth="1"/>
    <col min="11265" max="11265" width="4.19921875" style="108" customWidth="1"/>
    <col min="11266" max="11266" width="18" style="108" customWidth="1"/>
    <col min="11267" max="11267" width="13.3984375" style="108" customWidth="1"/>
    <col min="11268" max="11268" width="10" style="108" customWidth="1"/>
    <col min="11269" max="11269" width="10.19921875" style="108" customWidth="1"/>
    <col min="11270" max="11270" width="10.09765625" style="108" customWidth="1"/>
    <col min="11271" max="11271" width="8.59765625" style="108" customWidth="1"/>
    <col min="11272" max="11273" width="7.59765625" style="108" customWidth="1"/>
    <col min="11274" max="11274" width="6.59765625" style="108" customWidth="1"/>
    <col min="11275" max="11275" width="7.59765625" style="108" customWidth="1"/>
    <col min="11276" max="11277" width="13.69921875" style="108" customWidth="1"/>
    <col min="11278" max="11278" width="6.59765625" style="108" customWidth="1"/>
    <col min="11279" max="11279" width="5.19921875" style="108" customWidth="1"/>
    <col min="11280" max="11280" width="6.59765625" style="108" customWidth="1"/>
    <col min="11281" max="11286" width="7.59765625" style="108" customWidth="1"/>
    <col min="11287" max="11288" width="8.5" style="108" customWidth="1"/>
    <col min="11289" max="11289" width="8.19921875" style="108" customWidth="1"/>
    <col min="11290" max="11290" width="8.09765625" style="108" customWidth="1"/>
    <col min="11291" max="11291" width="5.09765625" style="108" customWidth="1"/>
    <col min="11292" max="11292" width="6.69921875" style="108" customWidth="1"/>
    <col min="11293" max="11293" width="7.69921875" style="108" customWidth="1"/>
    <col min="11294" max="11294" width="11.8984375" style="108" customWidth="1"/>
    <col min="11295" max="11295" width="17.5" style="108" customWidth="1"/>
    <col min="11296" max="11297" width="9.19921875" style="108" customWidth="1"/>
    <col min="11298" max="11300" width="8.59765625" style="108" customWidth="1"/>
    <col min="11301" max="11301" width="10.8984375" style="108" customWidth="1"/>
    <col min="11302" max="11303" width="8.59765625" style="108" customWidth="1"/>
    <col min="11304" max="11304" width="10.59765625" style="108" customWidth="1"/>
    <col min="11305" max="11305" width="8.59765625" style="108" customWidth="1"/>
    <col min="11306" max="11515" width="8.59765625" style="108"/>
    <col min="11516" max="11516" width="7.8984375" style="108" customWidth="1"/>
    <col min="11517" max="11517" width="23.59765625" style="108" customWidth="1"/>
    <col min="11518" max="11519" width="14.3984375" style="108" customWidth="1"/>
    <col min="11520" max="11520" width="12" style="108" customWidth="1"/>
    <col min="11521" max="11521" width="4.19921875" style="108" customWidth="1"/>
    <col min="11522" max="11522" width="18" style="108" customWidth="1"/>
    <col min="11523" max="11523" width="13.3984375" style="108" customWidth="1"/>
    <col min="11524" max="11524" width="10" style="108" customWidth="1"/>
    <col min="11525" max="11525" width="10.19921875" style="108" customWidth="1"/>
    <col min="11526" max="11526" width="10.09765625" style="108" customWidth="1"/>
    <col min="11527" max="11527" width="8.59765625" style="108" customWidth="1"/>
    <col min="11528" max="11529" width="7.59765625" style="108" customWidth="1"/>
    <col min="11530" max="11530" width="6.59765625" style="108" customWidth="1"/>
    <col min="11531" max="11531" width="7.59765625" style="108" customWidth="1"/>
    <col min="11532" max="11533" width="13.69921875" style="108" customWidth="1"/>
    <col min="11534" max="11534" width="6.59765625" style="108" customWidth="1"/>
    <col min="11535" max="11535" width="5.19921875" style="108" customWidth="1"/>
    <col min="11536" max="11536" width="6.59765625" style="108" customWidth="1"/>
    <col min="11537" max="11542" width="7.59765625" style="108" customWidth="1"/>
    <col min="11543" max="11544" width="8.5" style="108" customWidth="1"/>
    <col min="11545" max="11545" width="8.19921875" style="108" customWidth="1"/>
    <col min="11546" max="11546" width="8.09765625" style="108" customWidth="1"/>
    <col min="11547" max="11547" width="5.09765625" style="108" customWidth="1"/>
    <col min="11548" max="11548" width="6.69921875" style="108" customWidth="1"/>
    <col min="11549" max="11549" width="7.69921875" style="108" customWidth="1"/>
    <col min="11550" max="11550" width="11.8984375" style="108" customWidth="1"/>
    <col min="11551" max="11551" width="17.5" style="108" customWidth="1"/>
    <col min="11552" max="11553" width="9.19921875" style="108" customWidth="1"/>
    <col min="11554" max="11556" width="8.59765625" style="108" customWidth="1"/>
    <col min="11557" max="11557" width="10.8984375" style="108" customWidth="1"/>
    <col min="11558" max="11559" width="8.59765625" style="108" customWidth="1"/>
    <col min="11560" max="11560" width="10.59765625" style="108" customWidth="1"/>
    <col min="11561" max="11561" width="8.59765625" style="108" customWidth="1"/>
    <col min="11562" max="11771" width="8.59765625" style="108"/>
    <col min="11772" max="11772" width="7.8984375" style="108" customWidth="1"/>
    <col min="11773" max="11773" width="23.59765625" style="108" customWidth="1"/>
    <col min="11774" max="11775" width="14.3984375" style="108" customWidth="1"/>
    <col min="11776" max="11776" width="12" style="108" customWidth="1"/>
    <col min="11777" max="11777" width="4.19921875" style="108" customWidth="1"/>
    <col min="11778" max="11778" width="18" style="108" customWidth="1"/>
    <col min="11779" max="11779" width="13.3984375" style="108" customWidth="1"/>
    <col min="11780" max="11780" width="10" style="108" customWidth="1"/>
    <col min="11781" max="11781" width="10.19921875" style="108" customWidth="1"/>
    <col min="11782" max="11782" width="10.09765625" style="108" customWidth="1"/>
    <col min="11783" max="11783" width="8.59765625" style="108" customWidth="1"/>
    <col min="11784" max="11785" width="7.59765625" style="108" customWidth="1"/>
    <col min="11786" max="11786" width="6.59765625" style="108" customWidth="1"/>
    <col min="11787" max="11787" width="7.59765625" style="108" customWidth="1"/>
    <col min="11788" max="11789" width="13.69921875" style="108" customWidth="1"/>
    <col min="11790" max="11790" width="6.59765625" style="108" customWidth="1"/>
    <col min="11791" max="11791" width="5.19921875" style="108" customWidth="1"/>
    <col min="11792" max="11792" width="6.59765625" style="108" customWidth="1"/>
    <col min="11793" max="11798" width="7.59765625" style="108" customWidth="1"/>
    <col min="11799" max="11800" width="8.5" style="108" customWidth="1"/>
    <col min="11801" max="11801" width="8.19921875" style="108" customWidth="1"/>
    <col min="11802" max="11802" width="8.09765625" style="108" customWidth="1"/>
    <col min="11803" max="11803" width="5.09765625" style="108" customWidth="1"/>
    <col min="11804" max="11804" width="6.69921875" style="108" customWidth="1"/>
    <col min="11805" max="11805" width="7.69921875" style="108" customWidth="1"/>
    <col min="11806" max="11806" width="11.8984375" style="108" customWidth="1"/>
    <col min="11807" max="11807" width="17.5" style="108" customWidth="1"/>
    <col min="11808" max="11809" width="9.19921875" style="108" customWidth="1"/>
    <col min="11810" max="11812" width="8.59765625" style="108" customWidth="1"/>
    <col min="11813" max="11813" width="10.8984375" style="108" customWidth="1"/>
    <col min="11814" max="11815" width="8.59765625" style="108" customWidth="1"/>
    <col min="11816" max="11816" width="10.59765625" style="108" customWidth="1"/>
    <col min="11817" max="11817" width="8.59765625" style="108" customWidth="1"/>
    <col min="11818" max="12027" width="8.59765625" style="108"/>
    <col min="12028" max="12028" width="7.8984375" style="108" customWidth="1"/>
    <col min="12029" max="12029" width="23.59765625" style="108" customWidth="1"/>
    <col min="12030" max="12031" width="14.3984375" style="108" customWidth="1"/>
    <col min="12032" max="12032" width="12" style="108" customWidth="1"/>
    <col min="12033" max="12033" width="4.19921875" style="108" customWidth="1"/>
    <col min="12034" max="12034" width="18" style="108" customWidth="1"/>
    <col min="12035" max="12035" width="13.3984375" style="108" customWidth="1"/>
    <col min="12036" max="12036" width="10" style="108" customWidth="1"/>
    <col min="12037" max="12037" width="10.19921875" style="108" customWidth="1"/>
    <col min="12038" max="12038" width="10.09765625" style="108" customWidth="1"/>
    <col min="12039" max="12039" width="8.59765625" style="108" customWidth="1"/>
    <col min="12040" max="12041" width="7.59765625" style="108" customWidth="1"/>
    <col min="12042" max="12042" width="6.59765625" style="108" customWidth="1"/>
    <col min="12043" max="12043" width="7.59765625" style="108" customWidth="1"/>
    <col min="12044" max="12045" width="13.69921875" style="108" customWidth="1"/>
    <col min="12046" max="12046" width="6.59765625" style="108" customWidth="1"/>
    <col min="12047" max="12047" width="5.19921875" style="108" customWidth="1"/>
    <col min="12048" max="12048" width="6.59765625" style="108" customWidth="1"/>
    <col min="12049" max="12054" width="7.59765625" style="108" customWidth="1"/>
    <col min="12055" max="12056" width="8.5" style="108" customWidth="1"/>
    <col min="12057" max="12057" width="8.19921875" style="108" customWidth="1"/>
    <col min="12058" max="12058" width="8.09765625" style="108" customWidth="1"/>
    <col min="12059" max="12059" width="5.09765625" style="108" customWidth="1"/>
    <col min="12060" max="12060" width="6.69921875" style="108" customWidth="1"/>
    <col min="12061" max="12061" width="7.69921875" style="108" customWidth="1"/>
    <col min="12062" max="12062" width="11.8984375" style="108" customWidth="1"/>
    <col min="12063" max="12063" width="17.5" style="108" customWidth="1"/>
    <col min="12064" max="12065" width="9.19921875" style="108" customWidth="1"/>
    <col min="12066" max="12068" width="8.59765625" style="108" customWidth="1"/>
    <col min="12069" max="12069" width="10.8984375" style="108" customWidth="1"/>
    <col min="12070" max="12071" width="8.59765625" style="108" customWidth="1"/>
    <col min="12072" max="12072" width="10.59765625" style="108" customWidth="1"/>
    <col min="12073" max="12073" width="8.59765625" style="108" customWidth="1"/>
    <col min="12074" max="12283" width="8.59765625" style="108"/>
    <col min="12284" max="12284" width="7.8984375" style="108" customWidth="1"/>
    <col min="12285" max="12285" width="23.59765625" style="108" customWidth="1"/>
    <col min="12286" max="12287" width="14.3984375" style="108" customWidth="1"/>
    <col min="12288" max="12288" width="12" style="108" customWidth="1"/>
    <col min="12289" max="12289" width="4.19921875" style="108" customWidth="1"/>
    <col min="12290" max="12290" width="18" style="108" customWidth="1"/>
    <col min="12291" max="12291" width="13.3984375" style="108" customWidth="1"/>
    <col min="12292" max="12292" width="10" style="108" customWidth="1"/>
    <col min="12293" max="12293" width="10.19921875" style="108" customWidth="1"/>
    <col min="12294" max="12294" width="10.09765625" style="108" customWidth="1"/>
    <col min="12295" max="12295" width="8.59765625" style="108" customWidth="1"/>
    <col min="12296" max="12297" width="7.59765625" style="108" customWidth="1"/>
    <col min="12298" max="12298" width="6.59765625" style="108" customWidth="1"/>
    <col min="12299" max="12299" width="7.59765625" style="108" customWidth="1"/>
    <col min="12300" max="12301" width="13.69921875" style="108" customWidth="1"/>
    <col min="12302" max="12302" width="6.59765625" style="108" customWidth="1"/>
    <col min="12303" max="12303" width="5.19921875" style="108" customWidth="1"/>
    <col min="12304" max="12304" width="6.59765625" style="108" customWidth="1"/>
    <col min="12305" max="12310" width="7.59765625" style="108" customWidth="1"/>
    <col min="12311" max="12312" width="8.5" style="108" customWidth="1"/>
    <col min="12313" max="12313" width="8.19921875" style="108" customWidth="1"/>
    <col min="12314" max="12314" width="8.09765625" style="108" customWidth="1"/>
    <col min="12315" max="12315" width="5.09765625" style="108" customWidth="1"/>
    <col min="12316" max="12316" width="6.69921875" style="108" customWidth="1"/>
    <col min="12317" max="12317" width="7.69921875" style="108" customWidth="1"/>
    <col min="12318" max="12318" width="11.8984375" style="108" customWidth="1"/>
    <col min="12319" max="12319" width="17.5" style="108" customWidth="1"/>
    <col min="12320" max="12321" width="9.19921875" style="108" customWidth="1"/>
    <col min="12322" max="12324" width="8.59765625" style="108" customWidth="1"/>
    <col min="12325" max="12325" width="10.8984375" style="108" customWidth="1"/>
    <col min="12326" max="12327" width="8.59765625" style="108" customWidth="1"/>
    <col min="12328" max="12328" width="10.59765625" style="108" customWidth="1"/>
    <col min="12329" max="12329" width="8.59765625" style="108" customWidth="1"/>
    <col min="12330" max="12539" width="8.59765625" style="108"/>
    <col min="12540" max="12540" width="7.8984375" style="108" customWidth="1"/>
    <col min="12541" max="12541" width="23.59765625" style="108" customWidth="1"/>
    <col min="12542" max="12543" width="14.3984375" style="108" customWidth="1"/>
    <col min="12544" max="12544" width="12" style="108" customWidth="1"/>
    <col min="12545" max="12545" width="4.19921875" style="108" customWidth="1"/>
    <col min="12546" max="12546" width="18" style="108" customWidth="1"/>
    <col min="12547" max="12547" width="13.3984375" style="108" customWidth="1"/>
    <col min="12548" max="12548" width="10" style="108" customWidth="1"/>
    <col min="12549" max="12549" width="10.19921875" style="108" customWidth="1"/>
    <col min="12550" max="12550" width="10.09765625" style="108" customWidth="1"/>
    <col min="12551" max="12551" width="8.59765625" style="108" customWidth="1"/>
    <col min="12552" max="12553" width="7.59765625" style="108" customWidth="1"/>
    <col min="12554" max="12554" width="6.59765625" style="108" customWidth="1"/>
    <col min="12555" max="12555" width="7.59765625" style="108" customWidth="1"/>
    <col min="12556" max="12557" width="13.69921875" style="108" customWidth="1"/>
    <col min="12558" max="12558" width="6.59765625" style="108" customWidth="1"/>
    <col min="12559" max="12559" width="5.19921875" style="108" customWidth="1"/>
    <col min="12560" max="12560" width="6.59765625" style="108" customWidth="1"/>
    <col min="12561" max="12566" width="7.59765625" style="108" customWidth="1"/>
    <col min="12567" max="12568" width="8.5" style="108" customWidth="1"/>
    <col min="12569" max="12569" width="8.19921875" style="108" customWidth="1"/>
    <col min="12570" max="12570" width="8.09765625" style="108" customWidth="1"/>
    <col min="12571" max="12571" width="5.09765625" style="108" customWidth="1"/>
    <col min="12572" max="12572" width="6.69921875" style="108" customWidth="1"/>
    <col min="12573" max="12573" width="7.69921875" style="108" customWidth="1"/>
    <col min="12574" max="12574" width="11.8984375" style="108" customWidth="1"/>
    <col min="12575" max="12575" width="17.5" style="108" customWidth="1"/>
    <col min="12576" max="12577" width="9.19921875" style="108" customWidth="1"/>
    <col min="12578" max="12580" width="8.59765625" style="108" customWidth="1"/>
    <col min="12581" max="12581" width="10.8984375" style="108" customWidth="1"/>
    <col min="12582" max="12583" width="8.59765625" style="108" customWidth="1"/>
    <col min="12584" max="12584" width="10.59765625" style="108" customWidth="1"/>
    <col min="12585" max="12585" width="8.59765625" style="108" customWidth="1"/>
    <col min="12586" max="12795" width="8.59765625" style="108"/>
    <col min="12796" max="12796" width="7.8984375" style="108" customWidth="1"/>
    <col min="12797" max="12797" width="23.59765625" style="108" customWidth="1"/>
    <col min="12798" max="12799" width="14.3984375" style="108" customWidth="1"/>
    <col min="12800" max="12800" width="12" style="108" customWidth="1"/>
    <col min="12801" max="12801" width="4.19921875" style="108" customWidth="1"/>
    <col min="12802" max="12802" width="18" style="108" customWidth="1"/>
    <col min="12803" max="12803" width="13.3984375" style="108" customWidth="1"/>
    <col min="12804" max="12804" width="10" style="108" customWidth="1"/>
    <col min="12805" max="12805" width="10.19921875" style="108" customWidth="1"/>
    <col min="12806" max="12806" width="10.09765625" style="108" customWidth="1"/>
    <col min="12807" max="12807" width="8.59765625" style="108" customWidth="1"/>
    <col min="12808" max="12809" width="7.59765625" style="108" customWidth="1"/>
    <col min="12810" max="12810" width="6.59765625" style="108" customWidth="1"/>
    <col min="12811" max="12811" width="7.59765625" style="108" customWidth="1"/>
    <col min="12812" max="12813" width="13.69921875" style="108" customWidth="1"/>
    <col min="12814" max="12814" width="6.59765625" style="108" customWidth="1"/>
    <col min="12815" max="12815" width="5.19921875" style="108" customWidth="1"/>
    <col min="12816" max="12816" width="6.59765625" style="108" customWidth="1"/>
    <col min="12817" max="12822" width="7.59765625" style="108" customWidth="1"/>
    <col min="12823" max="12824" width="8.5" style="108" customWidth="1"/>
    <col min="12825" max="12825" width="8.19921875" style="108" customWidth="1"/>
    <col min="12826" max="12826" width="8.09765625" style="108" customWidth="1"/>
    <col min="12827" max="12827" width="5.09765625" style="108" customWidth="1"/>
    <col min="12828" max="12828" width="6.69921875" style="108" customWidth="1"/>
    <col min="12829" max="12829" width="7.69921875" style="108" customWidth="1"/>
    <col min="12830" max="12830" width="11.8984375" style="108" customWidth="1"/>
    <col min="12831" max="12831" width="17.5" style="108" customWidth="1"/>
    <col min="12832" max="12833" width="9.19921875" style="108" customWidth="1"/>
    <col min="12834" max="12836" width="8.59765625" style="108" customWidth="1"/>
    <col min="12837" max="12837" width="10.8984375" style="108" customWidth="1"/>
    <col min="12838" max="12839" width="8.59765625" style="108" customWidth="1"/>
    <col min="12840" max="12840" width="10.59765625" style="108" customWidth="1"/>
    <col min="12841" max="12841" width="8.59765625" style="108" customWidth="1"/>
    <col min="12842" max="13051" width="8.59765625" style="108"/>
    <col min="13052" max="13052" width="7.8984375" style="108" customWidth="1"/>
    <col min="13053" max="13053" width="23.59765625" style="108" customWidth="1"/>
    <col min="13054" max="13055" width="14.3984375" style="108" customWidth="1"/>
    <col min="13056" max="13056" width="12" style="108" customWidth="1"/>
    <col min="13057" max="13057" width="4.19921875" style="108" customWidth="1"/>
    <col min="13058" max="13058" width="18" style="108" customWidth="1"/>
    <col min="13059" max="13059" width="13.3984375" style="108" customWidth="1"/>
    <col min="13060" max="13060" width="10" style="108" customWidth="1"/>
    <col min="13061" max="13061" width="10.19921875" style="108" customWidth="1"/>
    <col min="13062" max="13062" width="10.09765625" style="108" customWidth="1"/>
    <col min="13063" max="13063" width="8.59765625" style="108" customWidth="1"/>
    <col min="13064" max="13065" width="7.59765625" style="108" customWidth="1"/>
    <col min="13066" max="13066" width="6.59765625" style="108" customWidth="1"/>
    <col min="13067" max="13067" width="7.59765625" style="108" customWidth="1"/>
    <col min="13068" max="13069" width="13.69921875" style="108" customWidth="1"/>
    <col min="13070" max="13070" width="6.59765625" style="108" customWidth="1"/>
    <col min="13071" max="13071" width="5.19921875" style="108" customWidth="1"/>
    <col min="13072" max="13072" width="6.59765625" style="108" customWidth="1"/>
    <col min="13073" max="13078" width="7.59765625" style="108" customWidth="1"/>
    <col min="13079" max="13080" width="8.5" style="108" customWidth="1"/>
    <col min="13081" max="13081" width="8.19921875" style="108" customWidth="1"/>
    <col min="13082" max="13082" width="8.09765625" style="108" customWidth="1"/>
    <col min="13083" max="13083" width="5.09765625" style="108" customWidth="1"/>
    <col min="13084" max="13084" width="6.69921875" style="108" customWidth="1"/>
    <col min="13085" max="13085" width="7.69921875" style="108" customWidth="1"/>
    <col min="13086" max="13086" width="11.8984375" style="108" customWidth="1"/>
    <col min="13087" max="13087" width="17.5" style="108" customWidth="1"/>
    <col min="13088" max="13089" width="9.19921875" style="108" customWidth="1"/>
    <col min="13090" max="13092" width="8.59765625" style="108" customWidth="1"/>
    <col min="13093" max="13093" width="10.8984375" style="108" customWidth="1"/>
    <col min="13094" max="13095" width="8.59765625" style="108" customWidth="1"/>
    <col min="13096" max="13096" width="10.59765625" style="108" customWidth="1"/>
    <col min="13097" max="13097" width="8.59765625" style="108" customWidth="1"/>
    <col min="13098" max="13307" width="8.59765625" style="108"/>
    <col min="13308" max="13308" width="7.8984375" style="108" customWidth="1"/>
    <col min="13309" max="13309" width="23.59765625" style="108" customWidth="1"/>
    <col min="13310" max="13311" width="14.3984375" style="108" customWidth="1"/>
    <col min="13312" max="13312" width="12" style="108" customWidth="1"/>
    <col min="13313" max="13313" width="4.19921875" style="108" customWidth="1"/>
    <col min="13314" max="13314" width="18" style="108" customWidth="1"/>
    <col min="13315" max="13315" width="13.3984375" style="108" customWidth="1"/>
    <col min="13316" max="13316" width="10" style="108" customWidth="1"/>
    <col min="13317" max="13317" width="10.19921875" style="108" customWidth="1"/>
    <col min="13318" max="13318" width="10.09765625" style="108" customWidth="1"/>
    <col min="13319" max="13319" width="8.59765625" style="108" customWidth="1"/>
    <col min="13320" max="13321" width="7.59765625" style="108" customWidth="1"/>
    <col min="13322" max="13322" width="6.59765625" style="108" customWidth="1"/>
    <col min="13323" max="13323" width="7.59765625" style="108" customWidth="1"/>
    <col min="13324" max="13325" width="13.69921875" style="108" customWidth="1"/>
    <col min="13326" max="13326" width="6.59765625" style="108" customWidth="1"/>
    <col min="13327" max="13327" width="5.19921875" style="108" customWidth="1"/>
    <col min="13328" max="13328" width="6.59765625" style="108" customWidth="1"/>
    <col min="13329" max="13334" width="7.59765625" style="108" customWidth="1"/>
    <col min="13335" max="13336" width="8.5" style="108" customWidth="1"/>
    <col min="13337" max="13337" width="8.19921875" style="108" customWidth="1"/>
    <col min="13338" max="13338" width="8.09765625" style="108" customWidth="1"/>
    <col min="13339" max="13339" width="5.09765625" style="108" customWidth="1"/>
    <col min="13340" max="13340" width="6.69921875" style="108" customWidth="1"/>
    <col min="13341" max="13341" width="7.69921875" style="108" customWidth="1"/>
    <col min="13342" max="13342" width="11.8984375" style="108" customWidth="1"/>
    <col min="13343" max="13343" width="17.5" style="108" customWidth="1"/>
    <col min="13344" max="13345" width="9.19921875" style="108" customWidth="1"/>
    <col min="13346" max="13348" width="8.59765625" style="108" customWidth="1"/>
    <col min="13349" max="13349" width="10.8984375" style="108" customWidth="1"/>
    <col min="13350" max="13351" width="8.59765625" style="108" customWidth="1"/>
    <col min="13352" max="13352" width="10.59765625" style="108" customWidth="1"/>
    <col min="13353" max="13353" width="8.59765625" style="108" customWidth="1"/>
    <col min="13354" max="13563" width="8.59765625" style="108"/>
    <col min="13564" max="13564" width="7.8984375" style="108" customWidth="1"/>
    <col min="13565" max="13565" width="23.59765625" style="108" customWidth="1"/>
    <col min="13566" max="13567" width="14.3984375" style="108" customWidth="1"/>
    <col min="13568" max="13568" width="12" style="108" customWidth="1"/>
    <col min="13569" max="13569" width="4.19921875" style="108" customWidth="1"/>
    <col min="13570" max="13570" width="18" style="108" customWidth="1"/>
    <col min="13571" max="13571" width="13.3984375" style="108" customWidth="1"/>
    <col min="13572" max="13572" width="10" style="108" customWidth="1"/>
    <col min="13573" max="13573" width="10.19921875" style="108" customWidth="1"/>
    <col min="13574" max="13574" width="10.09765625" style="108" customWidth="1"/>
    <col min="13575" max="13575" width="8.59765625" style="108" customWidth="1"/>
    <col min="13576" max="13577" width="7.59765625" style="108" customWidth="1"/>
    <col min="13578" max="13578" width="6.59765625" style="108" customWidth="1"/>
    <col min="13579" max="13579" width="7.59765625" style="108" customWidth="1"/>
    <col min="13580" max="13581" width="13.69921875" style="108" customWidth="1"/>
    <col min="13582" max="13582" width="6.59765625" style="108" customWidth="1"/>
    <col min="13583" max="13583" width="5.19921875" style="108" customWidth="1"/>
    <col min="13584" max="13584" width="6.59765625" style="108" customWidth="1"/>
    <col min="13585" max="13590" width="7.59765625" style="108" customWidth="1"/>
    <col min="13591" max="13592" width="8.5" style="108" customWidth="1"/>
    <col min="13593" max="13593" width="8.19921875" style="108" customWidth="1"/>
    <col min="13594" max="13594" width="8.09765625" style="108" customWidth="1"/>
    <col min="13595" max="13595" width="5.09765625" style="108" customWidth="1"/>
    <col min="13596" max="13596" width="6.69921875" style="108" customWidth="1"/>
    <col min="13597" max="13597" width="7.69921875" style="108" customWidth="1"/>
    <col min="13598" max="13598" width="11.8984375" style="108" customWidth="1"/>
    <col min="13599" max="13599" width="17.5" style="108" customWidth="1"/>
    <col min="13600" max="13601" width="9.19921875" style="108" customWidth="1"/>
    <col min="13602" max="13604" width="8.59765625" style="108" customWidth="1"/>
    <col min="13605" max="13605" width="10.8984375" style="108" customWidth="1"/>
    <col min="13606" max="13607" width="8.59765625" style="108" customWidth="1"/>
    <col min="13608" max="13608" width="10.59765625" style="108" customWidth="1"/>
    <col min="13609" max="13609" width="8.59765625" style="108" customWidth="1"/>
    <col min="13610" max="13819" width="8.59765625" style="108"/>
    <col min="13820" max="13820" width="7.8984375" style="108" customWidth="1"/>
    <col min="13821" max="13821" width="23.59765625" style="108" customWidth="1"/>
    <col min="13822" max="13823" width="14.3984375" style="108" customWidth="1"/>
    <col min="13824" max="13824" width="12" style="108" customWidth="1"/>
    <col min="13825" max="13825" width="4.19921875" style="108" customWidth="1"/>
    <col min="13826" max="13826" width="18" style="108" customWidth="1"/>
    <col min="13827" max="13827" width="13.3984375" style="108" customWidth="1"/>
    <col min="13828" max="13828" width="10" style="108" customWidth="1"/>
    <col min="13829" max="13829" width="10.19921875" style="108" customWidth="1"/>
    <col min="13830" max="13830" width="10.09765625" style="108" customWidth="1"/>
    <col min="13831" max="13831" width="8.59765625" style="108" customWidth="1"/>
    <col min="13832" max="13833" width="7.59765625" style="108" customWidth="1"/>
    <col min="13834" max="13834" width="6.59765625" style="108" customWidth="1"/>
    <col min="13835" max="13835" width="7.59765625" style="108" customWidth="1"/>
    <col min="13836" max="13837" width="13.69921875" style="108" customWidth="1"/>
    <col min="13838" max="13838" width="6.59765625" style="108" customWidth="1"/>
    <col min="13839" max="13839" width="5.19921875" style="108" customWidth="1"/>
    <col min="13840" max="13840" width="6.59765625" style="108" customWidth="1"/>
    <col min="13841" max="13846" width="7.59765625" style="108" customWidth="1"/>
    <col min="13847" max="13848" width="8.5" style="108" customWidth="1"/>
    <col min="13849" max="13849" width="8.19921875" style="108" customWidth="1"/>
    <col min="13850" max="13850" width="8.09765625" style="108" customWidth="1"/>
    <col min="13851" max="13851" width="5.09765625" style="108" customWidth="1"/>
    <col min="13852" max="13852" width="6.69921875" style="108" customWidth="1"/>
    <col min="13853" max="13853" width="7.69921875" style="108" customWidth="1"/>
    <col min="13854" max="13854" width="11.8984375" style="108" customWidth="1"/>
    <col min="13855" max="13855" width="17.5" style="108" customWidth="1"/>
    <col min="13856" max="13857" width="9.19921875" style="108" customWidth="1"/>
    <col min="13858" max="13860" width="8.59765625" style="108" customWidth="1"/>
    <col min="13861" max="13861" width="10.8984375" style="108" customWidth="1"/>
    <col min="13862" max="13863" width="8.59765625" style="108" customWidth="1"/>
    <col min="13864" max="13864" width="10.59765625" style="108" customWidth="1"/>
    <col min="13865" max="13865" width="8.59765625" style="108" customWidth="1"/>
    <col min="13866" max="14075" width="8.59765625" style="108"/>
    <col min="14076" max="14076" width="7.8984375" style="108" customWidth="1"/>
    <col min="14077" max="14077" width="23.59765625" style="108" customWidth="1"/>
    <col min="14078" max="14079" width="14.3984375" style="108" customWidth="1"/>
    <col min="14080" max="14080" width="12" style="108" customWidth="1"/>
    <col min="14081" max="14081" width="4.19921875" style="108" customWidth="1"/>
    <col min="14082" max="14082" width="18" style="108" customWidth="1"/>
    <col min="14083" max="14083" width="13.3984375" style="108" customWidth="1"/>
    <col min="14084" max="14084" width="10" style="108" customWidth="1"/>
    <col min="14085" max="14085" width="10.19921875" style="108" customWidth="1"/>
    <col min="14086" max="14086" width="10.09765625" style="108" customWidth="1"/>
    <col min="14087" max="14087" width="8.59765625" style="108" customWidth="1"/>
    <col min="14088" max="14089" width="7.59765625" style="108" customWidth="1"/>
    <col min="14090" max="14090" width="6.59765625" style="108" customWidth="1"/>
    <col min="14091" max="14091" width="7.59765625" style="108" customWidth="1"/>
    <col min="14092" max="14093" width="13.69921875" style="108" customWidth="1"/>
    <col min="14094" max="14094" width="6.59765625" style="108" customWidth="1"/>
    <col min="14095" max="14095" width="5.19921875" style="108" customWidth="1"/>
    <col min="14096" max="14096" width="6.59765625" style="108" customWidth="1"/>
    <col min="14097" max="14102" width="7.59765625" style="108" customWidth="1"/>
    <col min="14103" max="14104" width="8.5" style="108" customWidth="1"/>
    <col min="14105" max="14105" width="8.19921875" style="108" customWidth="1"/>
    <col min="14106" max="14106" width="8.09765625" style="108" customWidth="1"/>
    <col min="14107" max="14107" width="5.09765625" style="108" customWidth="1"/>
    <col min="14108" max="14108" width="6.69921875" style="108" customWidth="1"/>
    <col min="14109" max="14109" width="7.69921875" style="108" customWidth="1"/>
    <col min="14110" max="14110" width="11.8984375" style="108" customWidth="1"/>
    <col min="14111" max="14111" width="17.5" style="108" customWidth="1"/>
    <col min="14112" max="14113" width="9.19921875" style="108" customWidth="1"/>
    <col min="14114" max="14116" width="8.59765625" style="108" customWidth="1"/>
    <col min="14117" max="14117" width="10.8984375" style="108" customWidth="1"/>
    <col min="14118" max="14119" width="8.59765625" style="108" customWidth="1"/>
    <col min="14120" max="14120" width="10.59765625" style="108" customWidth="1"/>
    <col min="14121" max="14121" width="8.59765625" style="108" customWidth="1"/>
    <col min="14122" max="14331" width="8.59765625" style="108"/>
    <col min="14332" max="14332" width="7.8984375" style="108" customWidth="1"/>
    <col min="14333" max="14333" width="23.59765625" style="108" customWidth="1"/>
    <col min="14334" max="14335" width="14.3984375" style="108" customWidth="1"/>
    <col min="14336" max="14336" width="12" style="108" customWidth="1"/>
    <col min="14337" max="14337" width="4.19921875" style="108" customWidth="1"/>
    <col min="14338" max="14338" width="18" style="108" customWidth="1"/>
    <col min="14339" max="14339" width="13.3984375" style="108" customWidth="1"/>
    <col min="14340" max="14340" width="10" style="108" customWidth="1"/>
    <col min="14341" max="14341" width="10.19921875" style="108" customWidth="1"/>
    <col min="14342" max="14342" width="10.09765625" style="108" customWidth="1"/>
    <col min="14343" max="14343" width="8.59765625" style="108" customWidth="1"/>
    <col min="14344" max="14345" width="7.59765625" style="108" customWidth="1"/>
    <col min="14346" max="14346" width="6.59765625" style="108" customWidth="1"/>
    <col min="14347" max="14347" width="7.59765625" style="108" customWidth="1"/>
    <col min="14348" max="14349" width="13.69921875" style="108" customWidth="1"/>
    <col min="14350" max="14350" width="6.59765625" style="108" customWidth="1"/>
    <col min="14351" max="14351" width="5.19921875" style="108" customWidth="1"/>
    <col min="14352" max="14352" width="6.59765625" style="108" customWidth="1"/>
    <col min="14353" max="14358" width="7.59765625" style="108" customWidth="1"/>
    <col min="14359" max="14360" width="8.5" style="108" customWidth="1"/>
    <col min="14361" max="14361" width="8.19921875" style="108" customWidth="1"/>
    <col min="14362" max="14362" width="8.09765625" style="108" customWidth="1"/>
    <col min="14363" max="14363" width="5.09765625" style="108" customWidth="1"/>
    <col min="14364" max="14364" width="6.69921875" style="108" customWidth="1"/>
    <col min="14365" max="14365" width="7.69921875" style="108" customWidth="1"/>
    <col min="14366" max="14366" width="11.8984375" style="108" customWidth="1"/>
    <col min="14367" max="14367" width="17.5" style="108" customWidth="1"/>
    <col min="14368" max="14369" width="9.19921875" style="108" customWidth="1"/>
    <col min="14370" max="14372" width="8.59765625" style="108" customWidth="1"/>
    <col min="14373" max="14373" width="10.8984375" style="108" customWidth="1"/>
    <col min="14374" max="14375" width="8.59765625" style="108" customWidth="1"/>
    <col min="14376" max="14376" width="10.59765625" style="108" customWidth="1"/>
    <col min="14377" max="14377" width="8.59765625" style="108" customWidth="1"/>
    <col min="14378" max="14587" width="8.59765625" style="108"/>
    <col min="14588" max="14588" width="7.8984375" style="108" customWidth="1"/>
    <col min="14589" max="14589" width="23.59765625" style="108" customWidth="1"/>
    <col min="14590" max="14591" width="14.3984375" style="108" customWidth="1"/>
    <col min="14592" max="14592" width="12" style="108" customWidth="1"/>
    <col min="14593" max="14593" width="4.19921875" style="108" customWidth="1"/>
    <col min="14594" max="14594" width="18" style="108" customWidth="1"/>
    <col min="14595" max="14595" width="13.3984375" style="108" customWidth="1"/>
    <col min="14596" max="14596" width="10" style="108" customWidth="1"/>
    <col min="14597" max="14597" width="10.19921875" style="108" customWidth="1"/>
    <col min="14598" max="14598" width="10.09765625" style="108" customWidth="1"/>
    <col min="14599" max="14599" width="8.59765625" style="108" customWidth="1"/>
    <col min="14600" max="14601" width="7.59765625" style="108" customWidth="1"/>
    <col min="14602" max="14602" width="6.59765625" style="108" customWidth="1"/>
    <col min="14603" max="14603" width="7.59765625" style="108" customWidth="1"/>
    <col min="14604" max="14605" width="13.69921875" style="108" customWidth="1"/>
    <col min="14606" max="14606" width="6.59765625" style="108" customWidth="1"/>
    <col min="14607" max="14607" width="5.19921875" style="108" customWidth="1"/>
    <col min="14608" max="14608" width="6.59765625" style="108" customWidth="1"/>
    <col min="14609" max="14614" width="7.59765625" style="108" customWidth="1"/>
    <col min="14615" max="14616" width="8.5" style="108" customWidth="1"/>
    <col min="14617" max="14617" width="8.19921875" style="108" customWidth="1"/>
    <col min="14618" max="14618" width="8.09765625" style="108" customWidth="1"/>
    <col min="14619" max="14619" width="5.09765625" style="108" customWidth="1"/>
    <col min="14620" max="14620" width="6.69921875" style="108" customWidth="1"/>
    <col min="14621" max="14621" width="7.69921875" style="108" customWidth="1"/>
    <col min="14622" max="14622" width="11.8984375" style="108" customWidth="1"/>
    <col min="14623" max="14623" width="17.5" style="108" customWidth="1"/>
    <col min="14624" max="14625" width="9.19921875" style="108" customWidth="1"/>
    <col min="14626" max="14628" width="8.59765625" style="108" customWidth="1"/>
    <col min="14629" max="14629" width="10.8984375" style="108" customWidth="1"/>
    <col min="14630" max="14631" width="8.59765625" style="108" customWidth="1"/>
    <col min="14632" max="14632" width="10.59765625" style="108" customWidth="1"/>
    <col min="14633" max="14633" width="8.59765625" style="108" customWidth="1"/>
    <col min="14634" max="14843" width="8.59765625" style="108"/>
    <col min="14844" max="14844" width="7.8984375" style="108" customWidth="1"/>
    <col min="14845" max="14845" width="23.59765625" style="108" customWidth="1"/>
    <col min="14846" max="14847" width="14.3984375" style="108" customWidth="1"/>
    <col min="14848" max="14848" width="12" style="108" customWidth="1"/>
    <col min="14849" max="14849" width="4.19921875" style="108" customWidth="1"/>
    <col min="14850" max="14850" width="18" style="108" customWidth="1"/>
    <col min="14851" max="14851" width="13.3984375" style="108" customWidth="1"/>
    <col min="14852" max="14852" width="10" style="108" customWidth="1"/>
    <col min="14853" max="14853" width="10.19921875" style="108" customWidth="1"/>
    <col min="14854" max="14854" width="10.09765625" style="108" customWidth="1"/>
    <col min="14855" max="14855" width="8.59765625" style="108" customWidth="1"/>
    <col min="14856" max="14857" width="7.59765625" style="108" customWidth="1"/>
    <col min="14858" max="14858" width="6.59765625" style="108" customWidth="1"/>
    <col min="14859" max="14859" width="7.59765625" style="108" customWidth="1"/>
    <col min="14860" max="14861" width="13.69921875" style="108" customWidth="1"/>
    <col min="14862" max="14862" width="6.59765625" style="108" customWidth="1"/>
    <col min="14863" max="14863" width="5.19921875" style="108" customWidth="1"/>
    <col min="14864" max="14864" width="6.59765625" style="108" customWidth="1"/>
    <col min="14865" max="14870" width="7.59765625" style="108" customWidth="1"/>
    <col min="14871" max="14872" width="8.5" style="108" customWidth="1"/>
    <col min="14873" max="14873" width="8.19921875" style="108" customWidth="1"/>
    <col min="14874" max="14874" width="8.09765625" style="108" customWidth="1"/>
    <col min="14875" max="14875" width="5.09765625" style="108" customWidth="1"/>
    <col min="14876" max="14876" width="6.69921875" style="108" customWidth="1"/>
    <col min="14877" max="14877" width="7.69921875" style="108" customWidth="1"/>
    <col min="14878" max="14878" width="11.8984375" style="108" customWidth="1"/>
    <col min="14879" max="14879" width="17.5" style="108" customWidth="1"/>
    <col min="14880" max="14881" width="9.19921875" style="108" customWidth="1"/>
    <col min="14882" max="14884" width="8.59765625" style="108" customWidth="1"/>
    <col min="14885" max="14885" width="10.8984375" style="108" customWidth="1"/>
    <col min="14886" max="14887" width="8.59765625" style="108" customWidth="1"/>
    <col min="14888" max="14888" width="10.59765625" style="108" customWidth="1"/>
    <col min="14889" max="14889" width="8.59765625" style="108" customWidth="1"/>
    <col min="14890" max="15099" width="8.59765625" style="108"/>
    <col min="15100" max="15100" width="7.8984375" style="108" customWidth="1"/>
    <col min="15101" max="15101" width="23.59765625" style="108" customWidth="1"/>
    <col min="15102" max="15103" width="14.3984375" style="108" customWidth="1"/>
    <col min="15104" max="15104" width="12" style="108" customWidth="1"/>
    <col min="15105" max="15105" width="4.19921875" style="108" customWidth="1"/>
    <col min="15106" max="15106" width="18" style="108" customWidth="1"/>
    <col min="15107" max="15107" width="13.3984375" style="108" customWidth="1"/>
    <col min="15108" max="15108" width="10" style="108" customWidth="1"/>
    <col min="15109" max="15109" width="10.19921875" style="108" customWidth="1"/>
    <col min="15110" max="15110" width="10.09765625" style="108" customWidth="1"/>
    <col min="15111" max="15111" width="8.59765625" style="108" customWidth="1"/>
    <col min="15112" max="15113" width="7.59765625" style="108" customWidth="1"/>
    <col min="15114" max="15114" width="6.59765625" style="108" customWidth="1"/>
    <col min="15115" max="15115" width="7.59765625" style="108" customWidth="1"/>
    <col min="15116" max="15117" width="13.69921875" style="108" customWidth="1"/>
    <col min="15118" max="15118" width="6.59765625" style="108" customWidth="1"/>
    <col min="15119" max="15119" width="5.19921875" style="108" customWidth="1"/>
    <col min="15120" max="15120" width="6.59765625" style="108" customWidth="1"/>
    <col min="15121" max="15126" width="7.59765625" style="108" customWidth="1"/>
    <col min="15127" max="15128" width="8.5" style="108" customWidth="1"/>
    <col min="15129" max="15129" width="8.19921875" style="108" customWidth="1"/>
    <col min="15130" max="15130" width="8.09765625" style="108" customWidth="1"/>
    <col min="15131" max="15131" width="5.09765625" style="108" customWidth="1"/>
    <col min="15132" max="15132" width="6.69921875" style="108" customWidth="1"/>
    <col min="15133" max="15133" width="7.69921875" style="108" customWidth="1"/>
    <col min="15134" max="15134" width="11.8984375" style="108" customWidth="1"/>
    <col min="15135" max="15135" width="17.5" style="108" customWidth="1"/>
    <col min="15136" max="15137" width="9.19921875" style="108" customWidth="1"/>
    <col min="15138" max="15140" width="8.59765625" style="108" customWidth="1"/>
    <col min="15141" max="15141" width="10.8984375" style="108" customWidth="1"/>
    <col min="15142" max="15143" width="8.59765625" style="108" customWidth="1"/>
    <col min="15144" max="15144" width="10.59765625" style="108" customWidth="1"/>
    <col min="15145" max="15145" width="8.59765625" style="108" customWidth="1"/>
    <col min="15146" max="15355" width="8.59765625" style="108"/>
    <col min="15356" max="15356" width="7.8984375" style="108" customWidth="1"/>
    <col min="15357" max="15357" width="23.59765625" style="108" customWidth="1"/>
    <col min="15358" max="15359" width="14.3984375" style="108" customWidth="1"/>
    <col min="15360" max="15360" width="12" style="108" customWidth="1"/>
    <col min="15361" max="15361" width="4.19921875" style="108" customWidth="1"/>
    <col min="15362" max="15362" width="18" style="108" customWidth="1"/>
    <col min="15363" max="15363" width="13.3984375" style="108" customWidth="1"/>
    <col min="15364" max="15364" width="10" style="108" customWidth="1"/>
    <col min="15365" max="15365" width="10.19921875" style="108" customWidth="1"/>
    <col min="15366" max="15366" width="10.09765625" style="108" customWidth="1"/>
    <col min="15367" max="15367" width="8.59765625" style="108" customWidth="1"/>
    <col min="15368" max="15369" width="7.59765625" style="108" customWidth="1"/>
    <col min="15370" max="15370" width="6.59765625" style="108" customWidth="1"/>
    <col min="15371" max="15371" width="7.59765625" style="108" customWidth="1"/>
    <col min="15372" max="15373" width="13.69921875" style="108" customWidth="1"/>
    <col min="15374" max="15374" width="6.59765625" style="108" customWidth="1"/>
    <col min="15375" max="15375" width="5.19921875" style="108" customWidth="1"/>
    <col min="15376" max="15376" width="6.59765625" style="108" customWidth="1"/>
    <col min="15377" max="15382" width="7.59765625" style="108" customWidth="1"/>
    <col min="15383" max="15384" width="8.5" style="108" customWidth="1"/>
    <col min="15385" max="15385" width="8.19921875" style="108" customWidth="1"/>
    <col min="15386" max="15386" width="8.09765625" style="108" customWidth="1"/>
    <col min="15387" max="15387" width="5.09765625" style="108" customWidth="1"/>
    <col min="15388" max="15388" width="6.69921875" style="108" customWidth="1"/>
    <col min="15389" max="15389" width="7.69921875" style="108" customWidth="1"/>
    <col min="15390" max="15390" width="11.8984375" style="108" customWidth="1"/>
    <col min="15391" max="15391" width="17.5" style="108" customWidth="1"/>
    <col min="15392" max="15393" width="9.19921875" style="108" customWidth="1"/>
    <col min="15394" max="15396" width="8.59765625" style="108" customWidth="1"/>
    <col min="15397" max="15397" width="10.8984375" style="108" customWidth="1"/>
    <col min="15398" max="15399" width="8.59765625" style="108" customWidth="1"/>
    <col min="15400" max="15400" width="10.59765625" style="108" customWidth="1"/>
    <col min="15401" max="15401" width="8.59765625" style="108" customWidth="1"/>
    <col min="15402" max="15611" width="8.59765625" style="108"/>
    <col min="15612" max="15612" width="7.8984375" style="108" customWidth="1"/>
    <col min="15613" max="15613" width="23.59765625" style="108" customWidth="1"/>
    <col min="15614" max="15615" width="14.3984375" style="108" customWidth="1"/>
    <col min="15616" max="15616" width="12" style="108" customWidth="1"/>
    <col min="15617" max="15617" width="4.19921875" style="108" customWidth="1"/>
    <col min="15618" max="15618" width="18" style="108" customWidth="1"/>
    <col min="15619" max="15619" width="13.3984375" style="108" customWidth="1"/>
    <col min="15620" max="15620" width="10" style="108" customWidth="1"/>
    <col min="15621" max="15621" width="10.19921875" style="108" customWidth="1"/>
    <col min="15622" max="15622" width="10.09765625" style="108" customWidth="1"/>
    <col min="15623" max="15623" width="8.59765625" style="108" customWidth="1"/>
    <col min="15624" max="15625" width="7.59765625" style="108" customWidth="1"/>
    <col min="15626" max="15626" width="6.59765625" style="108" customWidth="1"/>
    <col min="15627" max="15627" width="7.59765625" style="108" customWidth="1"/>
    <col min="15628" max="15629" width="13.69921875" style="108" customWidth="1"/>
    <col min="15630" max="15630" width="6.59765625" style="108" customWidth="1"/>
    <col min="15631" max="15631" width="5.19921875" style="108" customWidth="1"/>
    <col min="15632" max="15632" width="6.59765625" style="108" customWidth="1"/>
    <col min="15633" max="15638" width="7.59765625" style="108" customWidth="1"/>
    <col min="15639" max="15640" width="8.5" style="108" customWidth="1"/>
    <col min="15641" max="15641" width="8.19921875" style="108" customWidth="1"/>
    <col min="15642" max="15642" width="8.09765625" style="108" customWidth="1"/>
    <col min="15643" max="15643" width="5.09765625" style="108" customWidth="1"/>
    <col min="15644" max="15644" width="6.69921875" style="108" customWidth="1"/>
    <col min="15645" max="15645" width="7.69921875" style="108" customWidth="1"/>
    <col min="15646" max="15646" width="11.8984375" style="108" customWidth="1"/>
    <col min="15647" max="15647" width="17.5" style="108" customWidth="1"/>
    <col min="15648" max="15649" width="9.19921875" style="108" customWidth="1"/>
    <col min="15650" max="15652" width="8.59765625" style="108" customWidth="1"/>
    <col min="15653" max="15653" width="10.8984375" style="108" customWidth="1"/>
    <col min="15654" max="15655" width="8.59765625" style="108" customWidth="1"/>
    <col min="15656" max="15656" width="10.59765625" style="108" customWidth="1"/>
    <col min="15657" max="15657" width="8.59765625" style="108" customWidth="1"/>
    <col min="15658" max="15867" width="8.59765625" style="108"/>
    <col min="15868" max="15868" width="7.8984375" style="108" customWidth="1"/>
    <col min="15869" max="15869" width="23.59765625" style="108" customWidth="1"/>
    <col min="15870" max="15871" width="14.3984375" style="108" customWidth="1"/>
    <col min="15872" max="15872" width="12" style="108" customWidth="1"/>
    <col min="15873" max="15873" width="4.19921875" style="108" customWidth="1"/>
    <col min="15874" max="15874" width="18" style="108" customWidth="1"/>
    <col min="15875" max="15875" width="13.3984375" style="108" customWidth="1"/>
    <col min="15876" max="15876" width="10" style="108" customWidth="1"/>
    <col min="15877" max="15877" width="10.19921875" style="108" customWidth="1"/>
    <col min="15878" max="15878" width="10.09765625" style="108" customWidth="1"/>
    <col min="15879" max="15879" width="8.59765625" style="108" customWidth="1"/>
    <col min="15880" max="15881" width="7.59765625" style="108" customWidth="1"/>
    <col min="15882" max="15882" width="6.59765625" style="108" customWidth="1"/>
    <col min="15883" max="15883" width="7.59765625" style="108" customWidth="1"/>
    <col min="15884" max="15885" width="13.69921875" style="108" customWidth="1"/>
    <col min="15886" max="15886" width="6.59765625" style="108" customWidth="1"/>
    <col min="15887" max="15887" width="5.19921875" style="108" customWidth="1"/>
    <col min="15888" max="15888" width="6.59765625" style="108" customWidth="1"/>
    <col min="15889" max="15894" width="7.59765625" style="108" customWidth="1"/>
    <col min="15895" max="15896" width="8.5" style="108" customWidth="1"/>
    <col min="15897" max="15897" width="8.19921875" style="108" customWidth="1"/>
    <col min="15898" max="15898" width="8.09765625" style="108" customWidth="1"/>
    <col min="15899" max="15899" width="5.09765625" style="108" customWidth="1"/>
    <col min="15900" max="15900" width="6.69921875" style="108" customWidth="1"/>
    <col min="15901" max="15901" width="7.69921875" style="108" customWidth="1"/>
    <col min="15902" max="15902" width="11.8984375" style="108" customWidth="1"/>
    <col min="15903" max="15903" width="17.5" style="108" customWidth="1"/>
    <col min="15904" max="15905" width="9.19921875" style="108" customWidth="1"/>
    <col min="15906" max="15908" width="8.59765625" style="108" customWidth="1"/>
    <col min="15909" max="15909" width="10.8984375" style="108" customWidth="1"/>
    <col min="15910" max="15911" width="8.59765625" style="108" customWidth="1"/>
    <col min="15912" max="15912" width="10.59765625" style="108" customWidth="1"/>
    <col min="15913" max="15913" width="8.59765625" style="108" customWidth="1"/>
    <col min="15914" max="16123" width="8.59765625" style="108"/>
    <col min="16124" max="16124" width="7.8984375" style="108" customWidth="1"/>
    <col min="16125" max="16125" width="23.59765625" style="108" customWidth="1"/>
    <col min="16126" max="16127" width="14.3984375" style="108" customWidth="1"/>
    <col min="16128" max="16128" width="12" style="108" customWidth="1"/>
    <col min="16129" max="16129" width="4.19921875" style="108" customWidth="1"/>
    <col min="16130" max="16130" width="18" style="108" customWidth="1"/>
    <col min="16131" max="16131" width="13.3984375" style="108" customWidth="1"/>
    <col min="16132" max="16132" width="10" style="108" customWidth="1"/>
    <col min="16133" max="16133" width="10.19921875" style="108" customWidth="1"/>
    <col min="16134" max="16134" width="10.09765625" style="108" customWidth="1"/>
    <col min="16135" max="16135" width="8.59765625" style="108" customWidth="1"/>
    <col min="16136" max="16137" width="7.59765625" style="108" customWidth="1"/>
    <col min="16138" max="16138" width="6.59765625" style="108" customWidth="1"/>
    <col min="16139" max="16139" width="7.59765625" style="108" customWidth="1"/>
    <col min="16140" max="16141" width="13.69921875" style="108" customWidth="1"/>
    <col min="16142" max="16142" width="6.59765625" style="108" customWidth="1"/>
    <col min="16143" max="16143" width="5.19921875" style="108" customWidth="1"/>
    <col min="16144" max="16144" width="6.59765625" style="108" customWidth="1"/>
    <col min="16145" max="16150" width="7.59765625" style="108" customWidth="1"/>
    <col min="16151" max="16152" width="8.5" style="108" customWidth="1"/>
    <col min="16153" max="16153" width="8.19921875" style="108" customWidth="1"/>
    <col min="16154" max="16154" width="8.09765625" style="108" customWidth="1"/>
    <col min="16155" max="16155" width="5.09765625" style="108" customWidth="1"/>
    <col min="16156" max="16156" width="6.69921875" style="108" customWidth="1"/>
    <col min="16157" max="16157" width="7.69921875" style="108" customWidth="1"/>
    <col min="16158" max="16158" width="11.8984375" style="108" customWidth="1"/>
    <col min="16159" max="16159" width="17.5" style="108" customWidth="1"/>
    <col min="16160" max="16161" width="9.19921875" style="108" customWidth="1"/>
    <col min="16162" max="16164" width="8.59765625" style="108" customWidth="1"/>
    <col min="16165" max="16165" width="10.8984375" style="108" customWidth="1"/>
    <col min="16166" max="16167" width="8.59765625" style="108" customWidth="1"/>
    <col min="16168" max="16168" width="10.59765625" style="108" customWidth="1"/>
    <col min="16169" max="16169" width="8.59765625" style="108" customWidth="1"/>
    <col min="16170" max="16379" width="8.59765625" style="108"/>
    <col min="16380" max="16380" width="7.8984375" style="108" customWidth="1"/>
    <col min="16381" max="16381" width="23.59765625" style="108" customWidth="1"/>
    <col min="16382" max="16383" width="14.3984375" style="108" customWidth="1"/>
    <col min="16384" max="16384" width="12" style="108" customWidth="1"/>
  </cols>
  <sheetData>
    <row r="1" spans="1:33" x14ac:dyDescent="0.3">
      <c r="A1" s="530" t="s">
        <v>192</v>
      </c>
      <c r="B1" s="530"/>
      <c r="AF1" s="531" t="s">
        <v>234</v>
      </c>
      <c r="AG1" s="531"/>
    </row>
    <row r="2" spans="1:33" s="97" customFormat="1" x14ac:dyDescent="0.3">
      <c r="A2" s="533" t="s">
        <v>206</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199"/>
      <c r="AF2" s="199"/>
      <c r="AG2" s="199"/>
    </row>
    <row r="3" spans="1:33" s="97" customFormat="1" x14ac:dyDescent="0.3">
      <c r="A3" s="197"/>
      <c r="B3" s="197"/>
      <c r="C3" s="200"/>
      <c r="D3" s="200"/>
      <c r="E3" s="200"/>
      <c r="F3" s="200"/>
      <c r="G3" s="200"/>
      <c r="H3" s="200"/>
      <c r="I3" s="200"/>
      <c r="J3" s="200"/>
      <c r="K3" s="200"/>
      <c r="L3" s="200"/>
      <c r="M3" s="200"/>
      <c r="N3" s="200"/>
      <c r="O3" s="200"/>
      <c r="P3" s="200"/>
      <c r="Q3" s="200"/>
      <c r="R3" s="200"/>
      <c r="S3" s="200"/>
      <c r="T3" s="200"/>
      <c r="U3" s="200"/>
      <c r="V3" s="200"/>
      <c r="W3" s="200"/>
      <c r="X3" s="200"/>
      <c r="Y3" s="200"/>
      <c r="Z3" s="532" t="s">
        <v>0</v>
      </c>
      <c r="AA3" s="532"/>
      <c r="AB3" s="532"/>
      <c r="AC3" s="532"/>
      <c r="AD3" s="532"/>
      <c r="AE3" s="532"/>
      <c r="AF3" s="532"/>
      <c r="AG3" s="532"/>
    </row>
    <row r="4" spans="1:33" s="98" customFormat="1" ht="15.75" customHeight="1" x14ac:dyDescent="0.25">
      <c r="A4" s="534" t="s">
        <v>1</v>
      </c>
      <c r="B4" s="534" t="s">
        <v>207</v>
      </c>
      <c r="C4" s="536" t="s">
        <v>14</v>
      </c>
      <c r="D4" s="536"/>
      <c r="E4" s="536"/>
      <c r="F4" s="536"/>
      <c r="G4" s="513" t="s">
        <v>208</v>
      </c>
      <c r="H4" s="524" t="s">
        <v>328</v>
      </c>
      <c r="I4" s="525"/>
      <c r="J4" s="525"/>
      <c r="K4" s="525"/>
      <c r="L4" s="525"/>
      <c r="M4" s="526"/>
      <c r="N4" s="518" t="s">
        <v>25</v>
      </c>
      <c r="O4" s="519"/>
      <c r="P4" s="520"/>
      <c r="Q4" s="518" t="s">
        <v>209</v>
      </c>
      <c r="R4" s="519"/>
      <c r="S4" s="520"/>
      <c r="T4" s="518" t="s">
        <v>29</v>
      </c>
      <c r="U4" s="519"/>
      <c r="V4" s="520"/>
      <c r="W4" s="515" t="s">
        <v>210</v>
      </c>
      <c r="X4" s="515" t="s">
        <v>211</v>
      </c>
      <c r="Y4" s="515" t="s">
        <v>212</v>
      </c>
      <c r="Z4" s="518" t="s">
        <v>213</v>
      </c>
      <c r="AA4" s="519"/>
      <c r="AB4" s="520"/>
      <c r="AC4" s="515" t="s">
        <v>38</v>
      </c>
      <c r="AD4" s="518" t="s">
        <v>34</v>
      </c>
      <c r="AE4" s="519"/>
      <c r="AF4" s="519"/>
      <c r="AG4" s="520"/>
    </row>
    <row r="5" spans="1:33" s="99" customFormat="1" ht="12.75" customHeight="1" x14ac:dyDescent="0.25">
      <c r="A5" s="535"/>
      <c r="B5" s="535"/>
      <c r="C5" s="513" t="s">
        <v>7</v>
      </c>
      <c r="D5" s="513" t="s">
        <v>158</v>
      </c>
      <c r="E5" s="513"/>
      <c r="F5" s="513"/>
      <c r="G5" s="514"/>
      <c r="H5" s="527"/>
      <c r="I5" s="528"/>
      <c r="J5" s="528"/>
      <c r="K5" s="528"/>
      <c r="L5" s="528"/>
      <c r="M5" s="529"/>
      <c r="N5" s="521"/>
      <c r="O5" s="522"/>
      <c r="P5" s="523"/>
      <c r="Q5" s="521"/>
      <c r="R5" s="522"/>
      <c r="S5" s="523"/>
      <c r="T5" s="521"/>
      <c r="U5" s="522"/>
      <c r="V5" s="523"/>
      <c r="W5" s="516"/>
      <c r="X5" s="516"/>
      <c r="Y5" s="516"/>
      <c r="Z5" s="521"/>
      <c r="AA5" s="522"/>
      <c r="AB5" s="523"/>
      <c r="AC5" s="516"/>
      <c r="AD5" s="521"/>
      <c r="AE5" s="522"/>
      <c r="AF5" s="522"/>
      <c r="AG5" s="523"/>
    </row>
    <row r="6" spans="1:33" s="99" customFormat="1" ht="13.2" x14ac:dyDescent="0.25">
      <c r="A6" s="535"/>
      <c r="B6" s="535"/>
      <c r="C6" s="513"/>
      <c r="D6" s="513" t="s">
        <v>327</v>
      </c>
      <c r="E6" s="513" t="s">
        <v>214</v>
      </c>
      <c r="F6" s="513" t="s">
        <v>215</v>
      </c>
      <c r="G6" s="514"/>
      <c r="H6" s="513" t="s">
        <v>7</v>
      </c>
      <c r="I6" s="513" t="s">
        <v>20</v>
      </c>
      <c r="J6" s="513"/>
      <c r="K6" s="513"/>
      <c r="L6" s="513" t="s">
        <v>216</v>
      </c>
      <c r="M6" s="513" t="s">
        <v>216</v>
      </c>
      <c r="N6" s="513" t="s">
        <v>7</v>
      </c>
      <c r="O6" s="513" t="s">
        <v>158</v>
      </c>
      <c r="P6" s="513"/>
      <c r="Q6" s="513" t="s">
        <v>7</v>
      </c>
      <c r="R6" s="513" t="s">
        <v>158</v>
      </c>
      <c r="S6" s="513"/>
      <c r="T6" s="513" t="s">
        <v>7</v>
      </c>
      <c r="U6" s="513" t="s">
        <v>158</v>
      </c>
      <c r="V6" s="513"/>
      <c r="W6" s="516"/>
      <c r="X6" s="516"/>
      <c r="Y6" s="516"/>
      <c r="Z6" s="513" t="s">
        <v>7</v>
      </c>
      <c r="AA6" s="513" t="s">
        <v>158</v>
      </c>
      <c r="AB6" s="513"/>
      <c r="AC6" s="516"/>
      <c r="AD6" s="513" t="s">
        <v>7</v>
      </c>
      <c r="AE6" s="513" t="s">
        <v>158</v>
      </c>
      <c r="AF6" s="513"/>
      <c r="AG6" s="513"/>
    </row>
    <row r="7" spans="1:33" s="99" customFormat="1" ht="13.2" x14ac:dyDescent="0.25">
      <c r="A7" s="535"/>
      <c r="B7" s="535"/>
      <c r="C7" s="514"/>
      <c r="D7" s="513"/>
      <c r="E7" s="513"/>
      <c r="F7" s="513"/>
      <c r="G7" s="514"/>
      <c r="H7" s="513"/>
      <c r="I7" s="513" t="s">
        <v>7</v>
      </c>
      <c r="J7" s="513" t="s">
        <v>158</v>
      </c>
      <c r="K7" s="513"/>
      <c r="L7" s="514"/>
      <c r="M7" s="514"/>
      <c r="N7" s="514"/>
      <c r="O7" s="513" t="s">
        <v>10</v>
      </c>
      <c r="P7" s="513" t="s">
        <v>11</v>
      </c>
      <c r="Q7" s="514"/>
      <c r="R7" s="513" t="s">
        <v>10</v>
      </c>
      <c r="S7" s="513" t="s">
        <v>11</v>
      </c>
      <c r="T7" s="513"/>
      <c r="U7" s="513" t="s">
        <v>10</v>
      </c>
      <c r="V7" s="513" t="s">
        <v>11</v>
      </c>
      <c r="W7" s="516"/>
      <c r="X7" s="516"/>
      <c r="Y7" s="516"/>
      <c r="Z7" s="513"/>
      <c r="AA7" s="513" t="s">
        <v>10</v>
      </c>
      <c r="AB7" s="513" t="s">
        <v>11</v>
      </c>
      <c r="AC7" s="516"/>
      <c r="AD7" s="514"/>
      <c r="AE7" s="513" t="s">
        <v>9</v>
      </c>
      <c r="AF7" s="513" t="s">
        <v>10</v>
      </c>
      <c r="AG7" s="513" t="s">
        <v>11</v>
      </c>
    </row>
    <row r="8" spans="1:33" s="99" customFormat="1" ht="37.5" customHeight="1" x14ac:dyDescent="0.25">
      <c r="A8" s="535"/>
      <c r="B8" s="535"/>
      <c r="C8" s="514"/>
      <c r="D8" s="513"/>
      <c r="E8" s="513"/>
      <c r="F8" s="513"/>
      <c r="G8" s="514"/>
      <c r="H8" s="513"/>
      <c r="I8" s="514"/>
      <c r="J8" s="201" t="s">
        <v>10</v>
      </c>
      <c r="K8" s="201" t="s">
        <v>11</v>
      </c>
      <c r="L8" s="514"/>
      <c r="M8" s="514"/>
      <c r="N8" s="514"/>
      <c r="O8" s="514"/>
      <c r="P8" s="514"/>
      <c r="Q8" s="514"/>
      <c r="R8" s="514"/>
      <c r="S8" s="514"/>
      <c r="T8" s="513"/>
      <c r="U8" s="514"/>
      <c r="V8" s="514"/>
      <c r="W8" s="517"/>
      <c r="X8" s="517"/>
      <c r="Y8" s="517"/>
      <c r="Z8" s="513"/>
      <c r="AA8" s="514"/>
      <c r="AB8" s="514"/>
      <c r="AC8" s="517"/>
      <c r="AD8" s="514"/>
      <c r="AE8" s="514"/>
      <c r="AF8" s="514"/>
      <c r="AG8" s="514"/>
    </row>
    <row r="9" spans="1:33" s="97" customFormat="1" x14ac:dyDescent="0.3">
      <c r="A9" s="100">
        <v>1</v>
      </c>
      <c r="B9" s="101" t="s">
        <v>217</v>
      </c>
      <c r="C9" s="202">
        <f t="shared" ref="C9:C25" si="0">D9+E9+F9</f>
        <v>403515</v>
      </c>
      <c r="D9" s="202">
        <f t="shared" ref="D9:D25" si="1">SUM(AE9)</f>
        <v>114000</v>
      </c>
      <c r="E9" s="202">
        <f>+J9+L9+O9+R9+U9+AF9+AA9+M9</f>
        <v>238055</v>
      </c>
      <c r="F9" s="202">
        <f t="shared" ref="F9:F17" si="2">SUM(K9,P9,S9,V9,W9,X9,Y9,AC9,AG9,AB9)</f>
        <v>51460</v>
      </c>
      <c r="G9" s="202">
        <f t="shared" ref="G9:G24" si="3">+F9-AG9</f>
        <v>13460</v>
      </c>
      <c r="H9" s="202">
        <f>SUM(I9,L9,M9)</f>
        <v>2005</v>
      </c>
      <c r="I9" s="202">
        <v>2000</v>
      </c>
      <c r="J9" s="202">
        <f>+I9*30%</f>
        <v>600</v>
      </c>
      <c r="K9" s="202">
        <f>+I9*70%</f>
        <v>1400</v>
      </c>
      <c r="L9" s="202">
        <v>5</v>
      </c>
      <c r="M9" s="202">
        <v>0</v>
      </c>
      <c r="N9" s="202">
        <v>1300</v>
      </c>
      <c r="O9" s="202">
        <f>+N9*30%</f>
        <v>390</v>
      </c>
      <c r="P9" s="202">
        <f>+N9*70%</f>
        <v>909.99999999999989</v>
      </c>
      <c r="Q9" s="202">
        <v>7000</v>
      </c>
      <c r="R9" s="202">
        <f t="shared" ref="R9:R25" si="4">+Q9*50%</f>
        <v>3500</v>
      </c>
      <c r="S9" s="202">
        <f t="shared" ref="S9:S25" si="5">+Q9*50%</f>
        <v>3500</v>
      </c>
      <c r="T9" s="202">
        <v>11000</v>
      </c>
      <c r="U9" s="202">
        <f t="shared" ref="U9:U25" si="6">+T9*50%</f>
        <v>5500</v>
      </c>
      <c r="V9" s="202">
        <f t="shared" ref="V9:V25" si="7">+T9*50%</f>
        <v>5500</v>
      </c>
      <c r="W9" s="202">
        <v>480</v>
      </c>
      <c r="X9" s="202">
        <v>120</v>
      </c>
      <c r="Y9" s="202">
        <v>1150</v>
      </c>
      <c r="Z9" s="202">
        <v>100</v>
      </c>
      <c r="AA9" s="202">
        <f t="shared" ref="AA9:AA14" si="8">+Z9*60%</f>
        <v>60</v>
      </c>
      <c r="AB9" s="202">
        <f t="shared" ref="AB9:AB14" si="9">+Z9*40%</f>
        <v>40</v>
      </c>
      <c r="AC9" s="202">
        <v>360</v>
      </c>
      <c r="AD9" s="202">
        <v>380000</v>
      </c>
      <c r="AE9" s="202">
        <f t="shared" ref="AE9:AE23" si="10">+AD9*30%</f>
        <v>114000</v>
      </c>
      <c r="AF9" s="202">
        <f t="shared" ref="AF9:AF23" si="11">+AD9*60%</f>
        <v>228000</v>
      </c>
      <c r="AG9" s="202">
        <f t="shared" ref="AG9:AG23" si="12">+AD9*10%</f>
        <v>38000</v>
      </c>
    </row>
    <row r="10" spans="1:33" s="97" customFormat="1" x14ac:dyDescent="0.3">
      <c r="A10" s="100">
        <v>2</v>
      </c>
      <c r="B10" s="101" t="s">
        <v>218</v>
      </c>
      <c r="C10" s="202">
        <f t="shared" si="0"/>
        <v>188945</v>
      </c>
      <c r="D10" s="202">
        <f t="shared" si="1"/>
        <v>51600</v>
      </c>
      <c r="E10" s="202">
        <f t="shared" ref="E10:E25" si="13">+J10+L10+O10+R10+U10+AF10+AA10+M10</f>
        <v>109863.9</v>
      </c>
      <c r="F10" s="202">
        <f t="shared" si="2"/>
        <v>27481.1</v>
      </c>
      <c r="G10" s="202">
        <f t="shared" si="3"/>
        <v>10281.099999999999</v>
      </c>
      <c r="H10" s="202">
        <f t="shared" ref="H10:H25" si="14">SUM(I10,L10,M10)</f>
        <v>2175</v>
      </c>
      <c r="I10" s="202">
        <v>2173</v>
      </c>
      <c r="J10" s="202">
        <f>+I10*30%</f>
        <v>651.9</v>
      </c>
      <c r="K10" s="202">
        <f>+I10*70%</f>
        <v>1521.1</v>
      </c>
      <c r="L10" s="202">
        <v>2</v>
      </c>
      <c r="M10" s="202">
        <v>0</v>
      </c>
      <c r="N10" s="202">
        <v>1700</v>
      </c>
      <c r="O10" s="202">
        <f>+N10*30%</f>
        <v>510</v>
      </c>
      <c r="P10" s="202">
        <f>+N10*70%</f>
        <v>1190</v>
      </c>
      <c r="Q10" s="202">
        <v>7500</v>
      </c>
      <c r="R10" s="202">
        <f t="shared" si="4"/>
        <v>3750</v>
      </c>
      <c r="S10" s="202">
        <f t="shared" si="5"/>
        <v>3750</v>
      </c>
      <c r="T10" s="202">
        <v>3500</v>
      </c>
      <c r="U10" s="202">
        <f t="shared" si="6"/>
        <v>1750</v>
      </c>
      <c r="V10" s="202">
        <f t="shared" si="7"/>
        <v>1750</v>
      </c>
      <c r="W10" s="202">
        <v>480</v>
      </c>
      <c r="X10" s="202">
        <v>180</v>
      </c>
      <c r="Y10" s="202">
        <v>860</v>
      </c>
      <c r="Z10" s="202"/>
      <c r="AA10" s="202"/>
      <c r="AB10" s="202"/>
      <c r="AC10" s="202">
        <v>550</v>
      </c>
      <c r="AD10" s="202">
        <v>172000</v>
      </c>
      <c r="AE10" s="202">
        <f t="shared" si="10"/>
        <v>51600</v>
      </c>
      <c r="AF10" s="202">
        <f t="shared" si="11"/>
        <v>103200</v>
      </c>
      <c r="AG10" s="202">
        <f t="shared" si="12"/>
        <v>17200</v>
      </c>
    </row>
    <row r="11" spans="1:33" s="97" customFormat="1" x14ac:dyDescent="0.3">
      <c r="A11" s="100">
        <v>3</v>
      </c>
      <c r="B11" s="101" t="s">
        <v>219</v>
      </c>
      <c r="C11" s="202">
        <f t="shared" si="0"/>
        <v>5530</v>
      </c>
      <c r="D11" s="202">
        <f t="shared" si="1"/>
        <v>1200</v>
      </c>
      <c r="E11" s="202">
        <f t="shared" si="13"/>
        <v>2600</v>
      </c>
      <c r="F11" s="202">
        <f t="shared" si="2"/>
        <v>1730</v>
      </c>
      <c r="G11" s="202">
        <f t="shared" si="3"/>
        <v>1330</v>
      </c>
      <c r="H11" s="202">
        <f t="shared" si="14"/>
        <v>500</v>
      </c>
      <c r="I11" s="202">
        <v>500</v>
      </c>
      <c r="J11" s="202"/>
      <c r="K11" s="202">
        <f t="shared" ref="K11:K25" si="15">+I11</f>
        <v>500</v>
      </c>
      <c r="L11" s="202">
        <v>0</v>
      </c>
      <c r="M11" s="202">
        <v>0</v>
      </c>
      <c r="N11" s="202">
        <v>250</v>
      </c>
      <c r="O11" s="202"/>
      <c r="P11" s="202">
        <f t="shared" ref="P11:P25" si="16">+N11</f>
        <v>250</v>
      </c>
      <c r="Q11" s="202">
        <v>250</v>
      </c>
      <c r="R11" s="202">
        <f t="shared" si="4"/>
        <v>125</v>
      </c>
      <c r="S11" s="202">
        <f t="shared" si="5"/>
        <v>125</v>
      </c>
      <c r="T11" s="202">
        <v>150</v>
      </c>
      <c r="U11" s="202">
        <f t="shared" si="6"/>
        <v>75</v>
      </c>
      <c r="V11" s="202">
        <f t="shared" si="7"/>
        <v>75</v>
      </c>
      <c r="W11" s="202">
        <v>30</v>
      </c>
      <c r="X11" s="202">
        <v>30</v>
      </c>
      <c r="Y11" s="202">
        <v>120</v>
      </c>
      <c r="Z11" s="202"/>
      <c r="AA11" s="202"/>
      <c r="AB11" s="202"/>
      <c r="AC11" s="202">
        <v>200</v>
      </c>
      <c r="AD11" s="202">
        <v>4000</v>
      </c>
      <c r="AE11" s="202">
        <f t="shared" si="10"/>
        <v>1200</v>
      </c>
      <c r="AF11" s="202">
        <f t="shared" si="11"/>
        <v>2400</v>
      </c>
      <c r="AG11" s="202">
        <f t="shared" si="12"/>
        <v>400</v>
      </c>
    </row>
    <row r="12" spans="1:33" s="97" customFormat="1" x14ac:dyDescent="0.3">
      <c r="A12" s="100">
        <v>4</v>
      </c>
      <c r="B12" s="101" t="s">
        <v>220</v>
      </c>
      <c r="C12" s="202">
        <f t="shared" si="0"/>
        <v>2438</v>
      </c>
      <c r="D12" s="202">
        <f t="shared" si="1"/>
        <v>0</v>
      </c>
      <c r="E12" s="202">
        <f t="shared" si="13"/>
        <v>600</v>
      </c>
      <c r="F12" s="202">
        <f t="shared" si="2"/>
        <v>1838</v>
      </c>
      <c r="G12" s="202">
        <f t="shared" si="3"/>
        <v>1838</v>
      </c>
      <c r="H12" s="202">
        <f t="shared" si="14"/>
        <v>400</v>
      </c>
      <c r="I12" s="202">
        <v>400</v>
      </c>
      <c r="J12" s="202"/>
      <c r="K12" s="202">
        <f t="shared" si="15"/>
        <v>400</v>
      </c>
      <c r="L12" s="202">
        <v>0</v>
      </c>
      <c r="M12" s="202">
        <v>0</v>
      </c>
      <c r="N12" s="202">
        <v>200</v>
      </c>
      <c r="O12" s="202"/>
      <c r="P12" s="202">
        <f t="shared" si="16"/>
        <v>200</v>
      </c>
      <c r="Q12" s="202">
        <v>800</v>
      </c>
      <c r="R12" s="202">
        <f t="shared" si="4"/>
        <v>400</v>
      </c>
      <c r="S12" s="202">
        <f t="shared" si="5"/>
        <v>400</v>
      </c>
      <c r="T12" s="202">
        <v>400</v>
      </c>
      <c r="U12" s="202">
        <f t="shared" si="6"/>
        <v>200</v>
      </c>
      <c r="V12" s="202">
        <f t="shared" si="7"/>
        <v>200</v>
      </c>
      <c r="W12" s="202">
        <v>148</v>
      </c>
      <c r="X12" s="202">
        <v>70</v>
      </c>
      <c r="Y12" s="202">
        <v>220</v>
      </c>
      <c r="Z12" s="202"/>
      <c r="AA12" s="202">
        <f t="shared" si="8"/>
        <v>0</v>
      </c>
      <c r="AB12" s="202">
        <f t="shared" si="9"/>
        <v>0</v>
      </c>
      <c r="AC12" s="202">
        <v>200</v>
      </c>
      <c r="AD12" s="202"/>
      <c r="AE12" s="202">
        <f t="shared" si="10"/>
        <v>0</v>
      </c>
      <c r="AF12" s="202">
        <f t="shared" si="11"/>
        <v>0</v>
      </c>
      <c r="AG12" s="202">
        <f t="shared" si="12"/>
        <v>0</v>
      </c>
    </row>
    <row r="13" spans="1:33" s="97" customFormat="1" x14ac:dyDescent="0.3">
      <c r="A13" s="100">
        <v>5</v>
      </c>
      <c r="B13" s="101" t="s">
        <v>221</v>
      </c>
      <c r="C13" s="202">
        <f t="shared" si="0"/>
        <v>1990</v>
      </c>
      <c r="D13" s="202">
        <f t="shared" si="1"/>
        <v>0</v>
      </c>
      <c r="E13" s="202">
        <f t="shared" si="13"/>
        <v>585</v>
      </c>
      <c r="F13" s="202">
        <f t="shared" si="2"/>
        <v>1405</v>
      </c>
      <c r="G13" s="202">
        <f t="shared" si="3"/>
        <v>1405</v>
      </c>
      <c r="H13" s="202">
        <f t="shared" si="14"/>
        <v>210</v>
      </c>
      <c r="I13" s="202">
        <v>200</v>
      </c>
      <c r="J13" s="202"/>
      <c r="K13" s="202">
        <f t="shared" si="15"/>
        <v>200</v>
      </c>
      <c r="L13" s="202">
        <v>10</v>
      </c>
      <c r="M13" s="202">
        <v>0</v>
      </c>
      <c r="N13" s="202">
        <v>100</v>
      </c>
      <c r="O13" s="202"/>
      <c r="P13" s="202">
        <f t="shared" si="16"/>
        <v>100</v>
      </c>
      <c r="Q13" s="202">
        <v>850</v>
      </c>
      <c r="R13" s="202">
        <f t="shared" si="4"/>
        <v>425</v>
      </c>
      <c r="S13" s="202">
        <f t="shared" si="5"/>
        <v>425</v>
      </c>
      <c r="T13" s="202">
        <v>300</v>
      </c>
      <c r="U13" s="202">
        <f t="shared" si="6"/>
        <v>150</v>
      </c>
      <c r="V13" s="202">
        <f t="shared" si="7"/>
        <v>150</v>
      </c>
      <c r="W13" s="202">
        <v>70</v>
      </c>
      <c r="X13" s="202">
        <v>100</v>
      </c>
      <c r="Y13" s="202">
        <v>160</v>
      </c>
      <c r="Z13" s="202"/>
      <c r="AA13" s="202"/>
      <c r="AB13" s="202"/>
      <c r="AC13" s="202">
        <v>200</v>
      </c>
      <c r="AD13" s="202"/>
      <c r="AE13" s="202">
        <f t="shared" si="10"/>
        <v>0</v>
      </c>
      <c r="AF13" s="202">
        <f t="shared" si="11"/>
        <v>0</v>
      </c>
      <c r="AG13" s="202">
        <f t="shared" si="12"/>
        <v>0</v>
      </c>
    </row>
    <row r="14" spans="1:33" s="97" customFormat="1" x14ac:dyDescent="0.3">
      <c r="A14" s="100">
        <v>6</v>
      </c>
      <c r="B14" s="101" t="s">
        <v>222</v>
      </c>
      <c r="C14" s="202">
        <f t="shared" si="0"/>
        <v>12000</v>
      </c>
      <c r="D14" s="202">
        <f t="shared" si="1"/>
        <v>3000</v>
      </c>
      <c r="E14" s="202">
        <f t="shared" si="13"/>
        <v>6545</v>
      </c>
      <c r="F14" s="202">
        <f t="shared" si="2"/>
        <v>2455</v>
      </c>
      <c r="G14" s="202">
        <f t="shared" si="3"/>
        <v>1455</v>
      </c>
      <c r="H14" s="202">
        <f t="shared" si="14"/>
        <v>310</v>
      </c>
      <c r="I14" s="202">
        <v>300</v>
      </c>
      <c r="J14" s="202"/>
      <c r="K14" s="202">
        <f t="shared" si="15"/>
        <v>300</v>
      </c>
      <c r="L14" s="202">
        <v>0</v>
      </c>
      <c r="M14" s="202">
        <v>10</v>
      </c>
      <c r="N14" s="202">
        <v>150</v>
      </c>
      <c r="O14" s="202"/>
      <c r="P14" s="202">
        <f t="shared" si="16"/>
        <v>150</v>
      </c>
      <c r="Q14" s="202">
        <v>750</v>
      </c>
      <c r="R14" s="202">
        <f t="shared" si="4"/>
        <v>375</v>
      </c>
      <c r="S14" s="202">
        <f t="shared" si="5"/>
        <v>375</v>
      </c>
      <c r="T14" s="202">
        <v>200</v>
      </c>
      <c r="U14" s="202">
        <f t="shared" si="6"/>
        <v>100</v>
      </c>
      <c r="V14" s="202">
        <f t="shared" si="7"/>
        <v>100</v>
      </c>
      <c r="W14" s="202">
        <v>60</v>
      </c>
      <c r="X14" s="202">
        <v>120</v>
      </c>
      <c r="Y14" s="202">
        <v>210</v>
      </c>
      <c r="Z14" s="202">
        <v>100</v>
      </c>
      <c r="AA14" s="202">
        <f t="shared" si="8"/>
        <v>60</v>
      </c>
      <c r="AB14" s="202">
        <f t="shared" si="9"/>
        <v>40</v>
      </c>
      <c r="AC14" s="202">
        <v>100</v>
      </c>
      <c r="AD14" s="202">
        <v>10000</v>
      </c>
      <c r="AE14" s="202">
        <f t="shared" si="10"/>
        <v>3000</v>
      </c>
      <c r="AF14" s="202">
        <f t="shared" si="11"/>
        <v>6000</v>
      </c>
      <c r="AG14" s="202">
        <f t="shared" si="12"/>
        <v>1000</v>
      </c>
    </row>
    <row r="15" spans="1:33" s="97" customFormat="1" x14ac:dyDescent="0.3">
      <c r="A15" s="100">
        <v>7</v>
      </c>
      <c r="B15" s="101" t="s">
        <v>223</v>
      </c>
      <c r="C15" s="202">
        <f t="shared" si="0"/>
        <v>1650</v>
      </c>
      <c r="D15" s="202">
        <f t="shared" si="1"/>
        <v>0</v>
      </c>
      <c r="E15" s="202">
        <f t="shared" si="13"/>
        <v>600</v>
      </c>
      <c r="F15" s="202">
        <f t="shared" si="2"/>
        <v>1050</v>
      </c>
      <c r="G15" s="202">
        <f t="shared" si="3"/>
        <v>1050</v>
      </c>
      <c r="H15" s="202">
        <f t="shared" si="14"/>
        <v>80</v>
      </c>
      <c r="I15" s="202">
        <v>80</v>
      </c>
      <c r="J15" s="202"/>
      <c r="K15" s="202">
        <f t="shared" si="15"/>
        <v>80</v>
      </c>
      <c r="L15" s="202">
        <v>0</v>
      </c>
      <c r="M15" s="202">
        <v>0</v>
      </c>
      <c r="N15" s="202">
        <v>40</v>
      </c>
      <c r="O15" s="202"/>
      <c r="P15" s="202">
        <f t="shared" si="16"/>
        <v>40</v>
      </c>
      <c r="Q15" s="202">
        <v>800</v>
      </c>
      <c r="R15" s="202">
        <f t="shared" si="4"/>
        <v>400</v>
      </c>
      <c r="S15" s="202">
        <f t="shared" si="5"/>
        <v>400</v>
      </c>
      <c r="T15" s="202">
        <v>400</v>
      </c>
      <c r="U15" s="202">
        <f t="shared" si="6"/>
        <v>200</v>
      </c>
      <c r="V15" s="202">
        <f t="shared" si="7"/>
        <v>200</v>
      </c>
      <c r="W15" s="202">
        <v>50</v>
      </c>
      <c r="X15" s="202">
        <v>30</v>
      </c>
      <c r="Y15" s="202">
        <v>200</v>
      </c>
      <c r="Z15" s="202"/>
      <c r="AA15" s="202"/>
      <c r="AB15" s="202"/>
      <c r="AC15" s="202">
        <v>50</v>
      </c>
      <c r="AD15" s="202"/>
      <c r="AE15" s="202">
        <f t="shared" si="10"/>
        <v>0</v>
      </c>
      <c r="AF15" s="202">
        <f t="shared" si="11"/>
        <v>0</v>
      </c>
      <c r="AG15" s="202">
        <f t="shared" si="12"/>
        <v>0</v>
      </c>
    </row>
    <row r="16" spans="1:33" s="97" customFormat="1" x14ac:dyDescent="0.3">
      <c r="A16" s="100">
        <v>8</v>
      </c>
      <c r="B16" s="101" t="s">
        <v>224</v>
      </c>
      <c r="C16" s="202">
        <f t="shared" si="0"/>
        <v>2505</v>
      </c>
      <c r="D16" s="202">
        <f t="shared" si="1"/>
        <v>0</v>
      </c>
      <c r="E16" s="202">
        <f t="shared" si="13"/>
        <v>400</v>
      </c>
      <c r="F16" s="202">
        <f t="shared" si="2"/>
        <v>2105</v>
      </c>
      <c r="G16" s="202">
        <f t="shared" si="3"/>
        <v>2105</v>
      </c>
      <c r="H16" s="202">
        <f t="shared" si="14"/>
        <v>800</v>
      </c>
      <c r="I16" s="202">
        <v>800</v>
      </c>
      <c r="J16" s="202"/>
      <c r="K16" s="202">
        <f t="shared" si="15"/>
        <v>800</v>
      </c>
      <c r="L16" s="202">
        <v>0</v>
      </c>
      <c r="M16" s="202">
        <v>0</v>
      </c>
      <c r="N16" s="202">
        <v>400</v>
      </c>
      <c r="O16" s="202"/>
      <c r="P16" s="202">
        <f t="shared" si="16"/>
        <v>400</v>
      </c>
      <c r="Q16" s="202">
        <v>600</v>
      </c>
      <c r="R16" s="202">
        <f t="shared" si="4"/>
        <v>300</v>
      </c>
      <c r="S16" s="202">
        <f t="shared" si="5"/>
        <v>300</v>
      </c>
      <c r="T16" s="202">
        <v>200</v>
      </c>
      <c r="U16" s="202">
        <f t="shared" si="6"/>
        <v>100</v>
      </c>
      <c r="V16" s="202">
        <f t="shared" si="7"/>
        <v>100</v>
      </c>
      <c r="W16" s="202">
        <v>85</v>
      </c>
      <c r="X16" s="202">
        <v>60</v>
      </c>
      <c r="Y16" s="202">
        <v>160</v>
      </c>
      <c r="Z16" s="202"/>
      <c r="AA16" s="202"/>
      <c r="AB16" s="202"/>
      <c r="AC16" s="202">
        <v>200</v>
      </c>
      <c r="AD16" s="202"/>
      <c r="AE16" s="202">
        <f t="shared" si="10"/>
        <v>0</v>
      </c>
      <c r="AF16" s="202">
        <f t="shared" si="11"/>
        <v>0</v>
      </c>
      <c r="AG16" s="202">
        <f t="shared" si="12"/>
        <v>0</v>
      </c>
    </row>
    <row r="17" spans="1:43" s="97" customFormat="1" x14ac:dyDescent="0.3">
      <c r="A17" s="100">
        <v>9</v>
      </c>
      <c r="B17" s="101" t="s">
        <v>225</v>
      </c>
      <c r="C17" s="202">
        <f t="shared" si="0"/>
        <v>82205</v>
      </c>
      <c r="D17" s="202">
        <f t="shared" si="1"/>
        <v>24000</v>
      </c>
      <c r="E17" s="202">
        <f t="shared" si="13"/>
        <v>48870</v>
      </c>
      <c r="F17" s="202">
        <f t="shared" si="2"/>
        <v>9335</v>
      </c>
      <c r="G17" s="202">
        <f t="shared" si="3"/>
        <v>1335</v>
      </c>
      <c r="H17" s="202">
        <f t="shared" si="14"/>
        <v>40</v>
      </c>
      <c r="I17" s="202">
        <v>30</v>
      </c>
      <c r="J17" s="202"/>
      <c r="K17" s="202">
        <f t="shared" si="15"/>
        <v>30</v>
      </c>
      <c r="L17" s="202">
        <v>0</v>
      </c>
      <c r="M17" s="202">
        <v>10</v>
      </c>
      <c r="N17" s="202">
        <v>15</v>
      </c>
      <c r="O17" s="202"/>
      <c r="P17" s="202">
        <f t="shared" si="16"/>
        <v>15</v>
      </c>
      <c r="Q17" s="202">
        <v>1000</v>
      </c>
      <c r="R17" s="202">
        <f t="shared" si="4"/>
        <v>500</v>
      </c>
      <c r="S17" s="202">
        <f t="shared" si="5"/>
        <v>500</v>
      </c>
      <c r="T17" s="202">
        <v>480</v>
      </c>
      <c r="U17" s="202">
        <f t="shared" si="6"/>
        <v>240</v>
      </c>
      <c r="V17" s="202">
        <f t="shared" si="7"/>
        <v>240</v>
      </c>
      <c r="W17" s="202">
        <v>30</v>
      </c>
      <c r="X17" s="202">
        <v>80</v>
      </c>
      <c r="Y17" s="202">
        <v>160</v>
      </c>
      <c r="Z17" s="202">
        <v>200</v>
      </c>
      <c r="AA17" s="202">
        <f>+Z17*60%</f>
        <v>120</v>
      </c>
      <c r="AB17" s="202">
        <f>+Z17*40%</f>
        <v>80</v>
      </c>
      <c r="AC17" s="202">
        <v>200</v>
      </c>
      <c r="AD17" s="202">
        <v>80000</v>
      </c>
      <c r="AE17" s="202">
        <f t="shared" si="10"/>
        <v>24000</v>
      </c>
      <c r="AF17" s="202">
        <f t="shared" si="11"/>
        <v>48000</v>
      </c>
      <c r="AG17" s="202">
        <f t="shared" si="12"/>
        <v>8000</v>
      </c>
    </row>
    <row r="18" spans="1:43" s="97" customFormat="1" x14ac:dyDescent="0.3">
      <c r="A18" s="100">
        <v>10</v>
      </c>
      <c r="B18" s="101" t="s">
        <v>226</v>
      </c>
      <c r="C18" s="202">
        <f t="shared" si="0"/>
        <v>6859</v>
      </c>
      <c r="D18" s="202">
        <f t="shared" si="1"/>
        <v>0</v>
      </c>
      <c r="E18" s="202">
        <f t="shared" si="13"/>
        <v>2250</v>
      </c>
      <c r="F18" s="202">
        <f>SUM(K18,P18,S18,V18,W18,X18,Y18,AC18,AG18,AB18)-1</f>
        <v>4609</v>
      </c>
      <c r="G18" s="202">
        <f t="shared" si="3"/>
        <v>4609</v>
      </c>
      <c r="H18" s="202">
        <f t="shared" si="14"/>
        <v>1000</v>
      </c>
      <c r="I18" s="202">
        <v>1000</v>
      </c>
      <c r="J18" s="202"/>
      <c r="K18" s="202">
        <f t="shared" si="15"/>
        <v>1000</v>
      </c>
      <c r="L18" s="202">
        <v>0</v>
      </c>
      <c r="M18" s="202">
        <v>0</v>
      </c>
      <c r="N18" s="202">
        <v>600</v>
      </c>
      <c r="O18" s="202"/>
      <c r="P18" s="202">
        <f t="shared" si="16"/>
        <v>600</v>
      </c>
      <c r="Q18" s="202">
        <v>3500</v>
      </c>
      <c r="R18" s="202">
        <f t="shared" si="4"/>
        <v>1750</v>
      </c>
      <c r="S18" s="202">
        <f t="shared" si="5"/>
        <v>1750</v>
      </c>
      <c r="T18" s="202">
        <v>1000</v>
      </c>
      <c r="U18" s="202">
        <f t="shared" si="6"/>
        <v>500</v>
      </c>
      <c r="V18" s="202">
        <f t="shared" si="7"/>
        <v>500</v>
      </c>
      <c r="W18" s="202">
        <v>230</v>
      </c>
      <c r="X18" s="202">
        <v>50</v>
      </c>
      <c r="Y18" s="202">
        <v>280</v>
      </c>
      <c r="Z18" s="202"/>
      <c r="AA18" s="202"/>
      <c r="AB18" s="202"/>
      <c r="AC18" s="202">
        <v>200</v>
      </c>
      <c r="AD18" s="202"/>
      <c r="AE18" s="202">
        <f t="shared" si="10"/>
        <v>0</v>
      </c>
      <c r="AF18" s="202">
        <f t="shared" si="11"/>
        <v>0</v>
      </c>
      <c r="AG18" s="202">
        <f t="shared" si="12"/>
        <v>0</v>
      </c>
    </row>
    <row r="19" spans="1:43" s="97" customFormat="1" x14ac:dyDescent="0.3">
      <c r="A19" s="100">
        <v>11</v>
      </c>
      <c r="B19" s="101" t="s">
        <v>227</v>
      </c>
      <c r="C19" s="202">
        <f t="shared" si="0"/>
        <v>920</v>
      </c>
      <c r="D19" s="202">
        <f t="shared" si="1"/>
        <v>0</v>
      </c>
      <c r="E19" s="202">
        <f t="shared" si="13"/>
        <v>230</v>
      </c>
      <c r="F19" s="202">
        <f t="shared" ref="F19:F24" si="17">SUM(K19,P19,S19,V19,W19,X19,Y19,AC19,AG19,AB19)</f>
        <v>690</v>
      </c>
      <c r="G19" s="202">
        <f t="shared" si="3"/>
        <v>690</v>
      </c>
      <c r="H19" s="202">
        <f t="shared" si="14"/>
        <v>35</v>
      </c>
      <c r="I19" s="202">
        <v>30</v>
      </c>
      <c r="J19" s="202"/>
      <c r="K19" s="202">
        <f t="shared" si="15"/>
        <v>30</v>
      </c>
      <c r="L19" s="202">
        <v>0</v>
      </c>
      <c r="M19" s="202">
        <v>5</v>
      </c>
      <c r="N19" s="202">
        <v>15</v>
      </c>
      <c r="O19" s="202"/>
      <c r="P19" s="202">
        <f t="shared" si="16"/>
        <v>15</v>
      </c>
      <c r="Q19" s="202">
        <v>350</v>
      </c>
      <c r="R19" s="202">
        <f t="shared" si="4"/>
        <v>175</v>
      </c>
      <c r="S19" s="202">
        <f t="shared" si="5"/>
        <v>175</v>
      </c>
      <c r="T19" s="202">
        <v>100</v>
      </c>
      <c r="U19" s="202">
        <f t="shared" si="6"/>
        <v>50</v>
      </c>
      <c r="V19" s="202">
        <f t="shared" si="7"/>
        <v>50</v>
      </c>
      <c r="W19" s="202">
        <v>30</v>
      </c>
      <c r="X19" s="202">
        <v>50</v>
      </c>
      <c r="Y19" s="202">
        <v>190</v>
      </c>
      <c r="Z19" s="202"/>
      <c r="AA19" s="202"/>
      <c r="AB19" s="202"/>
      <c r="AC19" s="202">
        <v>150</v>
      </c>
      <c r="AD19" s="202"/>
      <c r="AE19" s="202">
        <f t="shared" si="10"/>
        <v>0</v>
      </c>
      <c r="AF19" s="202">
        <f t="shared" si="11"/>
        <v>0</v>
      </c>
      <c r="AG19" s="202">
        <f t="shared" si="12"/>
        <v>0</v>
      </c>
    </row>
    <row r="20" spans="1:43" s="97" customFormat="1" x14ac:dyDescent="0.3">
      <c r="A20" s="100">
        <v>12</v>
      </c>
      <c r="B20" s="101" t="s">
        <v>228</v>
      </c>
      <c r="C20" s="202">
        <f t="shared" si="0"/>
        <v>31042</v>
      </c>
      <c r="D20" s="202">
        <f t="shared" si="1"/>
        <v>7500</v>
      </c>
      <c r="E20" s="202">
        <f t="shared" si="13"/>
        <v>16650</v>
      </c>
      <c r="F20" s="202">
        <f t="shared" si="17"/>
        <v>6892</v>
      </c>
      <c r="G20" s="202">
        <f t="shared" si="3"/>
        <v>4392</v>
      </c>
      <c r="H20" s="202">
        <f t="shared" si="14"/>
        <v>1300</v>
      </c>
      <c r="I20" s="202">
        <v>1300</v>
      </c>
      <c r="J20" s="202"/>
      <c r="K20" s="202">
        <f t="shared" si="15"/>
        <v>1300</v>
      </c>
      <c r="L20" s="202">
        <v>0</v>
      </c>
      <c r="M20" s="202">
        <v>0</v>
      </c>
      <c r="N20" s="202">
        <v>630</v>
      </c>
      <c r="O20" s="202"/>
      <c r="P20" s="202">
        <f t="shared" si="16"/>
        <v>630</v>
      </c>
      <c r="Q20" s="202">
        <v>2500</v>
      </c>
      <c r="R20" s="202">
        <f t="shared" si="4"/>
        <v>1250</v>
      </c>
      <c r="S20" s="202">
        <f t="shared" si="5"/>
        <v>1250</v>
      </c>
      <c r="T20" s="202">
        <v>800</v>
      </c>
      <c r="U20" s="202">
        <f t="shared" si="6"/>
        <v>400</v>
      </c>
      <c r="V20" s="202">
        <f t="shared" si="7"/>
        <v>400</v>
      </c>
      <c r="W20" s="202">
        <v>162</v>
      </c>
      <c r="X20" s="202">
        <v>100</v>
      </c>
      <c r="Y20" s="202">
        <v>150</v>
      </c>
      <c r="Z20" s="202"/>
      <c r="AA20" s="202"/>
      <c r="AB20" s="202"/>
      <c r="AC20" s="202">
        <v>400</v>
      </c>
      <c r="AD20" s="202">
        <v>25000</v>
      </c>
      <c r="AE20" s="202">
        <f t="shared" si="10"/>
        <v>7500</v>
      </c>
      <c r="AF20" s="202">
        <f t="shared" si="11"/>
        <v>15000</v>
      </c>
      <c r="AG20" s="202">
        <f t="shared" si="12"/>
        <v>2500</v>
      </c>
    </row>
    <row r="21" spans="1:43" s="97" customFormat="1" x14ac:dyDescent="0.3">
      <c r="A21" s="100">
        <v>13</v>
      </c>
      <c r="B21" s="101" t="s">
        <v>229</v>
      </c>
      <c r="C21" s="202">
        <f t="shared" si="0"/>
        <v>10555</v>
      </c>
      <c r="D21" s="202">
        <f t="shared" si="1"/>
        <v>2700</v>
      </c>
      <c r="E21" s="202">
        <f t="shared" si="13"/>
        <v>5655</v>
      </c>
      <c r="F21" s="202">
        <f t="shared" si="17"/>
        <v>2200</v>
      </c>
      <c r="G21" s="202">
        <f t="shared" si="3"/>
        <v>1300</v>
      </c>
      <c r="H21" s="202">
        <f t="shared" si="14"/>
        <v>305</v>
      </c>
      <c r="I21" s="202">
        <v>300</v>
      </c>
      <c r="J21" s="202"/>
      <c r="K21" s="202">
        <f t="shared" si="15"/>
        <v>300</v>
      </c>
      <c r="L21" s="202">
        <v>0</v>
      </c>
      <c r="M21" s="202">
        <v>5</v>
      </c>
      <c r="N21" s="202">
        <v>150</v>
      </c>
      <c r="O21" s="202"/>
      <c r="P21" s="202">
        <f t="shared" si="16"/>
        <v>150</v>
      </c>
      <c r="Q21" s="202">
        <v>350</v>
      </c>
      <c r="R21" s="202">
        <f t="shared" si="4"/>
        <v>175</v>
      </c>
      <c r="S21" s="202">
        <f t="shared" si="5"/>
        <v>175</v>
      </c>
      <c r="T21" s="202">
        <v>150</v>
      </c>
      <c r="U21" s="202">
        <f t="shared" si="6"/>
        <v>75</v>
      </c>
      <c r="V21" s="202">
        <f t="shared" si="7"/>
        <v>75</v>
      </c>
      <c r="W21" s="202">
        <v>80</v>
      </c>
      <c r="X21" s="202">
        <v>70</v>
      </c>
      <c r="Y21" s="202">
        <v>350</v>
      </c>
      <c r="Z21" s="202"/>
      <c r="AA21" s="202"/>
      <c r="AB21" s="202"/>
      <c r="AC21" s="202">
        <v>100</v>
      </c>
      <c r="AD21" s="202">
        <v>9000</v>
      </c>
      <c r="AE21" s="202">
        <f t="shared" si="10"/>
        <v>2700</v>
      </c>
      <c r="AF21" s="202">
        <f t="shared" si="11"/>
        <v>5400</v>
      </c>
      <c r="AG21" s="202">
        <f t="shared" si="12"/>
        <v>900</v>
      </c>
    </row>
    <row r="22" spans="1:43" s="97" customFormat="1" x14ac:dyDescent="0.3">
      <c r="A22" s="100">
        <v>14</v>
      </c>
      <c r="B22" s="101" t="s">
        <v>230</v>
      </c>
      <c r="C22" s="202">
        <f t="shared" si="0"/>
        <v>37170</v>
      </c>
      <c r="D22" s="202">
        <f t="shared" si="1"/>
        <v>10500</v>
      </c>
      <c r="E22" s="202">
        <f t="shared" si="13"/>
        <v>21760</v>
      </c>
      <c r="F22" s="202">
        <f t="shared" si="17"/>
        <v>4910</v>
      </c>
      <c r="G22" s="202">
        <f t="shared" si="3"/>
        <v>1410</v>
      </c>
      <c r="H22" s="202">
        <f t="shared" si="14"/>
        <v>160</v>
      </c>
      <c r="I22" s="202">
        <v>150</v>
      </c>
      <c r="J22" s="202"/>
      <c r="K22" s="202">
        <f t="shared" si="15"/>
        <v>150</v>
      </c>
      <c r="L22" s="202">
        <v>0</v>
      </c>
      <c r="M22" s="202">
        <v>10</v>
      </c>
      <c r="N22" s="202">
        <v>70</v>
      </c>
      <c r="O22" s="202"/>
      <c r="P22" s="202">
        <f t="shared" si="16"/>
        <v>70</v>
      </c>
      <c r="Q22" s="202">
        <v>1200</v>
      </c>
      <c r="R22" s="202">
        <f t="shared" si="4"/>
        <v>600</v>
      </c>
      <c r="S22" s="202">
        <f t="shared" si="5"/>
        <v>600</v>
      </c>
      <c r="T22" s="202">
        <v>300</v>
      </c>
      <c r="U22" s="202">
        <f t="shared" si="6"/>
        <v>150</v>
      </c>
      <c r="V22" s="202">
        <f t="shared" si="7"/>
        <v>150</v>
      </c>
      <c r="W22" s="202">
        <v>70</v>
      </c>
      <c r="X22" s="202">
        <v>40</v>
      </c>
      <c r="Y22" s="202">
        <v>180</v>
      </c>
      <c r="Z22" s="202"/>
      <c r="AA22" s="202"/>
      <c r="AB22" s="202"/>
      <c r="AC22" s="202">
        <v>150</v>
      </c>
      <c r="AD22" s="202">
        <v>35000</v>
      </c>
      <c r="AE22" s="202">
        <f t="shared" si="10"/>
        <v>10500</v>
      </c>
      <c r="AF22" s="202">
        <f t="shared" si="11"/>
        <v>21000</v>
      </c>
      <c r="AG22" s="202">
        <f t="shared" si="12"/>
        <v>3500</v>
      </c>
    </row>
    <row r="23" spans="1:43" s="97" customFormat="1" x14ac:dyDescent="0.3">
      <c r="A23" s="100">
        <v>15</v>
      </c>
      <c r="B23" s="102" t="s">
        <v>231</v>
      </c>
      <c r="C23" s="202">
        <f t="shared" si="0"/>
        <v>129900</v>
      </c>
      <c r="D23" s="202">
        <f t="shared" si="1"/>
        <v>37500</v>
      </c>
      <c r="E23" s="202">
        <f t="shared" si="13"/>
        <v>76510</v>
      </c>
      <c r="F23" s="202">
        <f t="shared" si="17"/>
        <v>15890</v>
      </c>
      <c r="G23" s="202">
        <f t="shared" si="3"/>
        <v>3390</v>
      </c>
      <c r="H23" s="202">
        <f t="shared" si="14"/>
        <v>1010</v>
      </c>
      <c r="I23" s="202">
        <v>1000</v>
      </c>
      <c r="J23" s="202"/>
      <c r="K23" s="202">
        <f t="shared" si="15"/>
        <v>1000</v>
      </c>
      <c r="L23" s="202">
        <v>0</v>
      </c>
      <c r="M23" s="202">
        <v>10</v>
      </c>
      <c r="N23" s="202">
        <v>400</v>
      </c>
      <c r="O23" s="202"/>
      <c r="P23" s="202">
        <f t="shared" si="16"/>
        <v>400</v>
      </c>
      <c r="Q23" s="202">
        <v>2000</v>
      </c>
      <c r="R23" s="202">
        <f t="shared" si="4"/>
        <v>1000</v>
      </c>
      <c r="S23" s="202">
        <f t="shared" si="5"/>
        <v>1000</v>
      </c>
      <c r="T23" s="202">
        <v>1000</v>
      </c>
      <c r="U23" s="202">
        <f t="shared" si="6"/>
        <v>500</v>
      </c>
      <c r="V23" s="202">
        <f t="shared" si="7"/>
        <v>500</v>
      </c>
      <c r="W23" s="202">
        <v>90</v>
      </c>
      <c r="X23" s="202">
        <v>90</v>
      </c>
      <c r="Y23" s="202">
        <v>160</v>
      </c>
      <c r="Z23" s="202"/>
      <c r="AA23" s="202"/>
      <c r="AB23" s="202"/>
      <c r="AC23" s="202">
        <v>150</v>
      </c>
      <c r="AD23" s="202">
        <v>125000</v>
      </c>
      <c r="AE23" s="202">
        <f t="shared" si="10"/>
        <v>37500</v>
      </c>
      <c r="AF23" s="202">
        <f t="shared" si="11"/>
        <v>75000</v>
      </c>
      <c r="AG23" s="202">
        <f t="shared" si="12"/>
        <v>12500</v>
      </c>
    </row>
    <row r="24" spans="1:43" s="97" customFormat="1" x14ac:dyDescent="0.3">
      <c r="A24" s="100">
        <v>16</v>
      </c>
      <c r="B24" s="101" t="s">
        <v>232</v>
      </c>
      <c r="C24" s="202">
        <f t="shared" si="0"/>
        <v>400</v>
      </c>
      <c r="D24" s="202">
        <f t="shared" si="1"/>
        <v>0</v>
      </c>
      <c r="E24" s="202">
        <f t="shared" si="13"/>
        <v>60</v>
      </c>
      <c r="F24" s="202">
        <f t="shared" si="17"/>
        <v>340</v>
      </c>
      <c r="G24" s="202">
        <f t="shared" si="3"/>
        <v>340</v>
      </c>
      <c r="H24" s="202">
        <f t="shared" si="14"/>
        <v>85</v>
      </c>
      <c r="I24" s="202">
        <v>60</v>
      </c>
      <c r="J24" s="202"/>
      <c r="K24" s="202">
        <f t="shared" si="15"/>
        <v>60</v>
      </c>
      <c r="L24" s="202">
        <v>25</v>
      </c>
      <c r="M24" s="202">
        <v>0</v>
      </c>
      <c r="N24" s="202">
        <v>30</v>
      </c>
      <c r="O24" s="202"/>
      <c r="P24" s="202">
        <f t="shared" si="16"/>
        <v>30</v>
      </c>
      <c r="Q24" s="202">
        <v>50</v>
      </c>
      <c r="R24" s="202">
        <f t="shared" si="4"/>
        <v>25</v>
      </c>
      <c r="S24" s="202">
        <f t="shared" si="5"/>
        <v>25</v>
      </c>
      <c r="T24" s="202">
        <v>20</v>
      </c>
      <c r="U24" s="202">
        <f t="shared" si="6"/>
        <v>10</v>
      </c>
      <c r="V24" s="202">
        <f t="shared" si="7"/>
        <v>10</v>
      </c>
      <c r="W24" s="202">
        <v>25</v>
      </c>
      <c r="X24" s="202">
        <v>10</v>
      </c>
      <c r="Y24" s="202">
        <v>30</v>
      </c>
      <c r="Z24" s="202"/>
      <c r="AA24" s="202"/>
      <c r="AB24" s="202"/>
      <c r="AC24" s="202">
        <v>150</v>
      </c>
      <c r="AD24" s="202"/>
      <c r="AE24" s="202"/>
      <c r="AF24" s="202"/>
      <c r="AG24" s="202"/>
    </row>
    <row r="25" spans="1:43" s="97" customFormat="1" x14ac:dyDescent="0.3">
      <c r="A25" s="100">
        <v>17</v>
      </c>
      <c r="B25" s="101" t="s">
        <v>233</v>
      </c>
      <c r="C25" s="202">
        <f t="shared" si="0"/>
        <v>175555</v>
      </c>
      <c r="D25" s="202">
        <f t="shared" si="1"/>
        <v>48000</v>
      </c>
      <c r="E25" s="202">
        <f t="shared" si="13"/>
        <v>102495</v>
      </c>
      <c r="F25" s="202">
        <f>SUM(K25,P25,S25,V25,W25,X25,Y25,AC25,AG25,AB25)</f>
        <v>25060</v>
      </c>
      <c r="G25" s="202">
        <f>+F25-AG25</f>
        <v>9060</v>
      </c>
      <c r="H25" s="202">
        <f t="shared" si="14"/>
        <v>1305</v>
      </c>
      <c r="I25" s="202">
        <v>1300</v>
      </c>
      <c r="J25" s="202"/>
      <c r="K25" s="202">
        <f t="shared" si="15"/>
        <v>1300</v>
      </c>
      <c r="L25" s="202">
        <v>5</v>
      </c>
      <c r="M25" s="202">
        <v>0</v>
      </c>
      <c r="N25" s="202">
        <v>550</v>
      </c>
      <c r="O25" s="202"/>
      <c r="P25" s="202">
        <f t="shared" si="16"/>
        <v>550</v>
      </c>
      <c r="Q25" s="202">
        <v>6500</v>
      </c>
      <c r="R25" s="202">
        <f t="shared" si="4"/>
        <v>3250</v>
      </c>
      <c r="S25" s="202">
        <f t="shared" si="5"/>
        <v>3250</v>
      </c>
      <c r="T25" s="202">
        <v>6000</v>
      </c>
      <c r="U25" s="202">
        <f t="shared" si="6"/>
        <v>3000</v>
      </c>
      <c r="V25" s="202">
        <f t="shared" si="7"/>
        <v>3000</v>
      </c>
      <c r="W25" s="202">
        <v>220</v>
      </c>
      <c r="X25" s="202">
        <v>120</v>
      </c>
      <c r="Y25" s="202">
        <v>220</v>
      </c>
      <c r="Z25" s="202">
        <v>400</v>
      </c>
      <c r="AA25" s="202">
        <f>+Z25*60%</f>
        <v>240</v>
      </c>
      <c r="AB25" s="202">
        <f>+Z25*40%</f>
        <v>160</v>
      </c>
      <c r="AC25" s="202">
        <v>240</v>
      </c>
      <c r="AD25" s="202">
        <v>160000</v>
      </c>
      <c r="AE25" s="202">
        <f>+AD25*30%</f>
        <v>48000</v>
      </c>
      <c r="AF25" s="202">
        <f>+AD25*60%</f>
        <v>96000</v>
      </c>
      <c r="AG25" s="202">
        <f>+AD25*10%</f>
        <v>16000</v>
      </c>
    </row>
    <row r="26" spans="1:43" s="106" customFormat="1" x14ac:dyDescent="0.3">
      <c r="A26" s="103"/>
      <c r="B26" s="104" t="s">
        <v>7</v>
      </c>
      <c r="C26" s="203">
        <f>SUM(C9:C25)</f>
        <v>1093179</v>
      </c>
      <c r="D26" s="203">
        <f>SUM(D9:D25)</f>
        <v>300000</v>
      </c>
      <c r="E26" s="203">
        <f>SUM(E9:E25)</f>
        <v>633728.9</v>
      </c>
      <c r="F26" s="203">
        <f>SUM(F9:F25)</f>
        <v>159450.1</v>
      </c>
      <c r="G26" s="203">
        <f>SUM(G9:G25)</f>
        <v>59450.1</v>
      </c>
      <c r="H26" s="203">
        <f t="shared" ref="H26:AG26" si="18">SUM(H9:H25)</f>
        <v>11720</v>
      </c>
      <c r="I26" s="203">
        <f t="shared" si="18"/>
        <v>11623</v>
      </c>
      <c r="J26" s="203">
        <f t="shared" si="18"/>
        <v>1251.9000000000001</v>
      </c>
      <c r="K26" s="203">
        <f t="shared" si="18"/>
        <v>10371.1</v>
      </c>
      <c r="L26" s="203">
        <f t="shared" si="18"/>
        <v>47</v>
      </c>
      <c r="M26" s="203">
        <f t="shared" si="18"/>
        <v>50</v>
      </c>
      <c r="N26" s="203">
        <f t="shared" si="18"/>
        <v>6600</v>
      </c>
      <c r="O26" s="203">
        <f t="shared" si="18"/>
        <v>900</v>
      </c>
      <c r="P26" s="203">
        <f t="shared" si="18"/>
        <v>5700</v>
      </c>
      <c r="Q26" s="203">
        <f t="shared" si="18"/>
        <v>36000</v>
      </c>
      <c r="R26" s="203">
        <f t="shared" si="18"/>
        <v>18000</v>
      </c>
      <c r="S26" s="203">
        <f t="shared" si="18"/>
        <v>18000</v>
      </c>
      <c r="T26" s="203">
        <f t="shared" si="18"/>
        <v>26000</v>
      </c>
      <c r="U26" s="203">
        <f t="shared" si="18"/>
        <v>13000</v>
      </c>
      <c r="V26" s="203">
        <f t="shared" si="18"/>
        <v>13000</v>
      </c>
      <c r="W26" s="203">
        <f t="shared" si="18"/>
        <v>2340</v>
      </c>
      <c r="X26" s="203">
        <f t="shared" si="18"/>
        <v>1320</v>
      </c>
      <c r="Y26" s="203">
        <f t="shared" si="18"/>
        <v>4800</v>
      </c>
      <c r="Z26" s="203">
        <f t="shared" si="18"/>
        <v>800</v>
      </c>
      <c r="AA26" s="203">
        <f t="shared" si="18"/>
        <v>480</v>
      </c>
      <c r="AB26" s="203">
        <f t="shared" si="18"/>
        <v>320</v>
      </c>
      <c r="AC26" s="203">
        <f t="shared" si="18"/>
        <v>3600</v>
      </c>
      <c r="AD26" s="203">
        <f t="shared" si="18"/>
        <v>1000000</v>
      </c>
      <c r="AE26" s="203">
        <f t="shared" si="18"/>
        <v>300000</v>
      </c>
      <c r="AF26" s="203">
        <f t="shared" si="18"/>
        <v>600000</v>
      </c>
      <c r="AG26" s="203">
        <f t="shared" si="18"/>
        <v>100000</v>
      </c>
      <c r="AH26" s="105"/>
      <c r="AI26" s="105"/>
      <c r="AJ26" s="105"/>
      <c r="AK26" s="105"/>
      <c r="AL26" s="105"/>
      <c r="AM26" s="105"/>
      <c r="AN26" s="105"/>
      <c r="AO26" s="105"/>
      <c r="AQ26" s="105"/>
    </row>
    <row r="27" spans="1:43" s="97" customFormat="1" x14ac:dyDescent="0.3">
      <c r="B27" s="107"/>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row>
    <row r="28" spans="1:43" s="97" customFormat="1" x14ac:dyDescent="0.3">
      <c r="B28" s="107"/>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row>
    <row r="29" spans="1:43" s="97" customFormat="1" x14ac:dyDescent="0.3">
      <c r="B29" s="107"/>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row>
    <row r="38" spans="1:256" s="213" customFormat="1" x14ac:dyDescent="0.3">
      <c r="A38" s="106"/>
      <c r="B38" s="215"/>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f>+AA38+AB38+AC38+AD38</f>
        <v>0</v>
      </c>
      <c r="AA38" s="216"/>
      <c r="AB38" s="216"/>
      <c r="AC38" s="216">
        <f>+AC39+AC40</f>
        <v>0</v>
      </c>
      <c r="AD38" s="216"/>
      <c r="AE38" s="216"/>
      <c r="AF38" s="216"/>
      <c r="AG38" s="21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V38" s="106"/>
      <c r="EW38" s="106"/>
      <c r="EX38" s="106"/>
      <c r="EY38" s="106"/>
      <c r="EZ38" s="106"/>
      <c r="FA38" s="106"/>
      <c r="FB38" s="106"/>
      <c r="FC38" s="106"/>
      <c r="FD38" s="106"/>
      <c r="FE38" s="106"/>
      <c r="FF38" s="106"/>
      <c r="FG38" s="106"/>
      <c r="FH38" s="106"/>
      <c r="FI38" s="106"/>
      <c r="FJ38" s="106"/>
      <c r="FK38" s="106"/>
      <c r="FL38" s="106"/>
      <c r="FM38" s="106"/>
      <c r="FN38" s="106"/>
      <c r="FO38" s="106"/>
      <c r="FP38" s="106"/>
      <c r="FQ38" s="106"/>
      <c r="FR38" s="106"/>
      <c r="FS38" s="106"/>
      <c r="FT38" s="106"/>
      <c r="FU38" s="106"/>
      <c r="FV38" s="106"/>
      <c r="FW38" s="106"/>
      <c r="FX38" s="106"/>
      <c r="FY38" s="106"/>
      <c r="FZ38" s="106"/>
      <c r="GA38" s="106"/>
      <c r="GB38" s="106"/>
      <c r="GC38" s="106"/>
      <c r="GD38" s="106"/>
      <c r="GE38" s="106"/>
      <c r="GF38" s="106"/>
      <c r="GG38" s="106"/>
      <c r="GH38" s="106"/>
      <c r="GI38" s="106"/>
      <c r="GJ38" s="106"/>
      <c r="GK38" s="106"/>
      <c r="GL38" s="106"/>
      <c r="GM38" s="106"/>
      <c r="GN38" s="106"/>
      <c r="GO38" s="106"/>
      <c r="GP38" s="106"/>
      <c r="GQ38" s="106"/>
      <c r="GR38" s="106"/>
      <c r="GS38" s="106"/>
      <c r="GT38" s="106"/>
      <c r="GU38" s="106"/>
      <c r="GV38" s="106"/>
      <c r="GW38" s="106"/>
      <c r="GX38" s="106"/>
      <c r="GY38" s="106"/>
      <c r="GZ38" s="106"/>
      <c r="HA38" s="106"/>
      <c r="HB38" s="106"/>
      <c r="HC38" s="106"/>
      <c r="HD38" s="106"/>
      <c r="HE38" s="106"/>
      <c r="HF38" s="106"/>
      <c r="HG38" s="106"/>
      <c r="HH38" s="106"/>
      <c r="HI38" s="106"/>
      <c r="HJ38" s="106"/>
      <c r="HK38" s="106"/>
      <c r="HL38" s="106"/>
      <c r="HM38" s="106"/>
      <c r="HN38" s="106"/>
      <c r="HO38" s="106"/>
      <c r="HP38" s="106"/>
      <c r="HQ38" s="106"/>
      <c r="HR38" s="106"/>
      <c r="HS38" s="106"/>
      <c r="HT38" s="106"/>
      <c r="HU38" s="106"/>
      <c r="HV38" s="106"/>
      <c r="HW38" s="106"/>
      <c r="HX38" s="106"/>
      <c r="HY38" s="106"/>
      <c r="HZ38" s="106"/>
      <c r="IA38" s="106"/>
      <c r="IB38" s="106"/>
      <c r="IC38" s="106"/>
      <c r="ID38" s="106"/>
      <c r="IE38" s="106"/>
      <c r="IF38" s="106"/>
      <c r="IG38" s="106"/>
      <c r="IH38" s="106"/>
      <c r="II38" s="106"/>
      <c r="IJ38" s="106"/>
      <c r="IK38" s="106"/>
      <c r="IL38" s="106"/>
      <c r="IM38" s="106"/>
      <c r="IN38" s="106"/>
      <c r="IO38" s="106"/>
      <c r="IP38" s="106"/>
      <c r="IQ38" s="106"/>
      <c r="IR38" s="106"/>
      <c r="IS38" s="106"/>
      <c r="IT38" s="106"/>
      <c r="IU38" s="106"/>
      <c r="IV38" s="106"/>
    </row>
  </sheetData>
  <mergeCells count="50">
    <mergeCell ref="A4:A8"/>
    <mergeCell ref="B4:B8"/>
    <mergeCell ref="C4:F4"/>
    <mergeCell ref="G4:G8"/>
    <mergeCell ref="C5:C8"/>
    <mergeCell ref="D5:F5"/>
    <mergeCell ref="D6:D8"/>
    <mergeCell ref="E6:E8"/>
    <mergeCell ref="F6:F8"/>
    <mergeCell ref="A1:B1"/>
    <mergeCell ref="AF1:AG1"/>
    <mergeCell ref="Z3:AG3"/>
    <mergeCell ref="T4:V5"/>
    <mergeCell ref="W4:W8"/>
    <mergeCell ref="X4:X8"/>
    <mergeCell ref="Y4:Y8"/>
    <mergeCell ref="AD6:AD8"/>
    <mergeCell ref="AE6:AG6"/>
    <mergeCell ref="I7:I8"/>
    <mergeCell ref="J7:K7"/>
    <mergeCell ref="O7:O8"/>
    <mergeCell ref="P7:P8"/>
    <mergeCell ref="R7:R8"/>
    <mergeCell ref="Z4:AB5"/>
    <mergeCell ref="A2:AD2"/>
    <mergeCell ref="AD4:AG5"/>
    <mergeCell ref="H4:M5"/>
    <mergeCell ref="N4:P5"/>
    <mergeCell ref="Q4:S5"/>
    <mergeCell ref="AE7:AE8"/>
    <mergeCell ref="AF7:AF8"/>
    <mergeCell ref="AG7:AG8"/>
    <mergeCell ref="V7:V8"/>
    <mergeCell ref="O6:P6"/>
    <mergeCell ref="Q6:Q8"/>
    <mergeCell ref="R6:S6"/>
    <mergeCell ref="T6:T8"/>
    <mergeCell ref="U6:V6"/>
    <mergeCell ref="H6:H8"/>
    <mergeCell ref="I6:K6"/>
    <mergeCell ref="M6:M8"/>
    <mergeCell ref="Z6:Z8"/>
    <mergeCell ref="L6:L8"/>
    <mergeCell ref="S7:S8"/>
    <mergeCell ref="U7:U8"/>
    <mergeCell ref="AC4:AC8"/>
    <mergeCell ref="N6:N8"/>
    <mergeCell ref="AA6:AB6"/>
    <mergeCell ref="AA7:AA8"/>
    <mergeCell ref="AB7:AB8"/>
  </mergeCells>
  <pageMargins left="0.7" right="0.16" top="0.75" bottom="0.75" header="0.3" footer="0.3"/>
  <pageSetup paperSize="9" scale="47" fitToHeight="0" orientation="landscape" verticalDpi="300" r:id="rId1"/>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17</vt:i4>
      </vt:variant>
    </vt:vector>
  </HeadingPairs>
  <TitlesOfParts>
    <vt:vector size="40" baseType="lpstr">
      <vt:lpstr>CD ĐP</vt:lpstr>
      <vt:lpstr>CD</vt:lpstr>
      <vt:lpstr>Tổng thu (2)</vt:lpstr>
      <vt:lpstr>TH</vt:lpstr>
      <vt:lpstr>TỔNG HỢP DT 2024- GUI TC</vt:lpstr>
      <vt:lpstr>Sheet5</vt:lpstr>
      <vt:lpstr>Tổng chi (M)</vt:lpstr>
      <vt:lpstr>Tổng chi</vt:lpstr>
      <vt:lpstr>Thu xa</vt:lpstr>
      <vt:lpstr>Thu</vt:lpstr>
      <vt:lpstr>Chi xa</vt:lpstr>
      <vt:lpstr>Sheet2</vt:lpstr>
      <vt:lpstr>BSCĐ xa</vt:lpstr>
      <vt:lpstr>Chi các đv</vt:lpstr>
      <vt:lpstr>Chi</vt:lpstr>
      <vt:lpstr>BSMT</vt:lpstr>
      <vt:lpstr>Sheet3</vt:lpstr>
      <vt:lpstr>Tổng thu</vt:lpstr>
      <vt:lpstr>Sheet1</vt:lpstr>
      <vt:lpstr>Du phong</vt:lpstr>
      <vt:lpstr>Chi khac</vt:lpstr>
      <vt:lpstr>NV MOI</vt:lpstr>
      <vt:lpstr>KP PC dich</vt:lpstr>
      <vt:lpstr>'BSCĐ xa'!Print_Area</vt:lpstr>
      <vt:lpstr>BSMT!Print_Area</vt:lpstr>
      <vt:lpstr>CD!Print_Area</vt:lpstr>
      <vt:lpstr>'CD ĐP'!Print_Area</vt:lpstr>
      <vt:lpstr>Chi!Print_Area</vt:lpstr>
      <vt:lpstr>'Chi các đv'!Print_Area</vt:lpstr>
      <vt:lpstr>'Chi xa'!Print_Area</vt:lpstr>
      <vt:lpstr>'Thu xa'!Print_Area</vt:lpstr>
      <vt:lpstr>'Tổng chi'!Print_Area</vt:lpstr>
      <vt:lpstr>'Tổng chi (M)'!Print_Area</vt:lpstr>
      <vt:lpstr>'TỔNG HỢP DT 2024- GUI TC'!Print_Area</vt:lpstr>
      <vt:lpstr>'Tổng thu'!Print_Area</vt:lpstr>
      <vt:lpstr>'Tổng thu (2)'!Print_Area</vt:lpstr>
      <vt:lpstr>'Chi các đv'!Print_Titles</vt:lpstr>
      <vt:lpstr>'Tổng chi'!Print_Titles</vt:lpstr>
      <vt:lpstr>'Tổng chi (M)'!Print_Titles</vt:lpstr>
      <vt:lpstr>'TỔNG HỢP DT 2024- GUI TC'!Print_Titles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Mai_TC</dc:creator>
  <cp:lastModifiedBy>Dell</cp:lastModifiedBy>
  <cp:lastPrinted>2023-12-12T07:31:34Z</cp:lastPrinted>
  <dcterms:created xsi:type="dcterms:W3CDTF">2022-01-18T01:09:04Z</dcterms:created>
  <dcterms:modified xsi:type="dcterms:W3CDTF">2023-12-12T07:32:32Z</dcterms:modified>
</cp:coreProperties>
</file>